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ate1904="1" codeName="ThisWorkbook"/>
  <mc:AlternateContent xmlns:mc="http://schemas.openxmlformats.org/markup-compatibility/2006">
    <mc:Choice Requires="x15">
      <x15ac:absPath xmlns:x15ac="http://schemas.microsoft.com/office/spreadsheetml/2010/11/ac" url="C:\Users\Jose Maria\SOFT_Astro\"/>
    </mc:Choice>
  </mc:AlternateContent>
  <xr:revisionPtr revIDLastSave="0" documentId="13_ncr:1_{9A04D73F-ECDB-48C0-B2E7-B92F59764B82}" xr6:coauthVersionLast="47" xr6:coauthVersionMax="47" xr10:uidLastSave="{00000000-0000-0000-0000-000000000000}"/>
  <bookViews>
    <workbookView xWindow="-120" yWindow="-120" windowWidth="29040" windowHeight="15720" xr2:uid="{00000000-000D-0000-FFFF-FFFF00000000}"/>
  </bookViews>
  <sheets>
    <sheet name="TABLA_01" sheetId="1" r:id="rId1"/>
    <sheet name="CONFIG." sheetId="4" r:id="rId2"/>
    <sheet name="Características CCD o DSLR" sheetId="2" r:id="rId3"/>
  </sheets>
  <definedNames>
    <definedName name="_xlnm.Print_Area" localSheetId="1">'CONFIG.'!$A$1:$O$65</definedName>
    <definedName name="_xlnm.Print_Area" localSheetId="0">TABLA_01!$B$2:$Y$94</definedName>
  </definedNames>
  <calcPr calcId="191029"/>
  <webPublishing targetScreenSize="1024x768" dpi="120"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1" l="1"/>
  <c r="J53" i="1" s="1"/>
  <c r="H52" i="1"/>
  <c r="D46" i="1"/>
  <c r="C54" i="4"/>
  <c r="C34" i="4"/>
  <c r="F73" i="2"/>
  <c r="R73" i="2" s="1"/>
  <c r="T73" i="2" s="1"/>
  <c r="E73" i="2"/>
  <c r="P73" i="2" s="1"/>
  <c r="S73" i="2" s="1"/>
  <c r="G32" i="1"/>
  <c r="O55" i="1"/>
  <c r="K55" i="1"/>
  <c r="S45" i="1"/>
  <c r="G45" i="1"/>
  <c r="E38" i="4"/>
  <c r="D38" i="4"/>
  <c r="D27" i="4"/>
  <c r="D39" i="4"/>
  <c r="D22" i="4" s="1"/>
  <c r="E75" i="2"/>
  <c r="F75" i="2"/>
  <c r="J20" i="1"/>
  <c r="H73" i="2" l="1"/>
  <c r="L73" i="2" s="1"/>
  <c r="G73" i="2"/>
  <c r="H75" i="2"/>
  <c r="L75" i="2" s="1"/>
  <c r="D32" i="4"/>
  <c r="D47" i="4"/>
  <c r="G75" i="2"/>
  <c r="D61" i="4"/>
  <c r="J21" i="1" l="1"/>
  <c r="F70" i="2"/>
  <c r="E70" i="2"/>
  <c r="P70" i="2" s="1"/>
  <c r="S70" i="2" s="1"/>
  <c r="H70" i="2" l="1"/>
  <c r="L70" i="2" s="1"/>
  <c r="G70" i="2"/>
  <c r="R70" i="2"/>
  <c r="T70" i="2" s="1"/>
  <c r="H24" i="2"/>
  <c r="L24" i="2" s="1"/>
  <c r="G24" i="2"/>
  <c r="X78" i="1"/>
  <c r="E74" i="2"/>
  <c r="F74" i="2"/>
  <c r="F54" i="4"/>
  <c r="D56" i="4"/>
  <c r="C56" i="4"/>
  <c r="G18" i="1"/>
  <c r="Q45" i="1"/>
  <c r="S9" i="1"/>
  <c r="X11" i="1"/>
  <c r="C45" i="1"/>
  <c r="Q46" i="1"/>
  <c r="E41" i="2"/>
  <c r="O41" i="2"/>
  <c r="F41" i="2" s="1"/>
  <c r="Q10" i="1"/>
  <c r="M20" i="1"/>
  <c r="M21" i="1"/>
  <c r="H74" i="2" l="1"/>
  <c r="L74" i="2" s="1"/>
  <c r="G74" i="2"/>
  <c r="E56" i="4"/>
  <c r="E55" i="4" s="1"/>
  <c r="G22" i="2"/>
  <c r="H22" i="2"/>
  <c r="L22" i="2" s="1"/>
  <c r="H41" i="2"/>
  <c r="L41" i="2" s="1"/>
  <c r="G41" i="2"/>
  <c r="C46" i="1"/>
  <c r="U79" i="1"/>
  <c r="T79" i="1"/>
  <c r="W9" i="1" l="1"/>
  <c r="C46" i="4"/>
  <c r="C48" i="4"/>
  <c r="G33" i="1"/>
  <c r="G55" i="1" l="1"/>
  <c r="G58" i="1"/>
  <c r="O52" i="1" s="1"/>
  <c r="T59" i="1"/>
  <c r="O36" i="1"/>
  <c r="M32" i="1"/>
  <c r="M33" i="1" s="1"/>
  <c r="C23" i="4"/>
  <c r="G25" i="1"/>
  <c r="G15" i="1" s="1"/>
  <c r="J23" i="1"/>
  <c r="S10" i="1"/>
  <c r="C28" i="4"/>
  <c r="C33" i="4"/>
  <c r="M10" i="1"/>
  <c r="M25" i="1" s="1"/>
  <c r="M16" i="1" s="1"/>
  <c r="J9" i="1"/>
  <c r="U10" i="1"/>
  <c r="F39" i="4"/>
  <c r="S11" i="1" s="1"/>
  <c r="E71" i="2"/>
  <c r="P71" i="2" s="1"/>
  <c r="S71" i="2" s="1"/>
  <c r="F71" i="2"/>
  <c r="R71" i="2" s="1"/>
  <c r="T71" i="2" s="1"/>
  <c r="E69" i="2"/>
  <c r="P69" i="2" s="1"/>
  <c r="S69" i="2" s="1"/>
  <c r="F69" i="2"/>
  <c r="R69" i="2" s="1"/>
  <c r="T69" i="2" s="1"/>
  <c r="Q78" i="1"/>
  <c r="E8" i="2"/>
  <c r="P8" i="2" s="1"/>
  <c r="S8" i="2" s="1"/>
  <c r="F8" i="2"/>
  <c r="R8" i="2" s="1"/>
  <c r="T8" i="2" s="1"/>
  <c r="E9" i="2"/>
  <c r="H9" i="2" s="1"/>
  <c r="L9" i="2" s="1"/>
  <c r="F9" i="2"/>
  <c r="R9" i="2"/>
  <c r="T9" i="2" s="1"/>
  <c r="E10" i="2"/>
  <c r="P10" i="2" s="1"/>
  <c r="S10" i="2" s="1"/>
  <c r="F10" i="2"/>
  <c r="E11" i="2"/>
  <c r="P11" i="2" s="1"/>
  <c r="S11" i="2" s="1"/>
  <c r="F11" i="2"/>
  <c r="R11" i="2" s="1"/>
  <c r="T11" i="2" s="1"/>
  <c r="E12" i="2"/>
  <c r="P12" i="2" s="1"/>
  <c r="S12" i="2" s="1"/>
  <c r="F12" i="2"/>
  <c r="R12" i="2" s="1"/>
  <c r="T12" i="2" s="1"/>
  <c r="E13" i="2"/>
  <c r="F13" i="2"/>
  <c r="R13" i="2" s="1"/>
  <c r="T13" i="2" s="1"/>
  <c r="E14" i="2"/>
  <c r="F14" i="2"/>
  <c r="E15" i="2"/>
  <c r="P15" i="2" s="1"/>
  <c r="S15" i="2" s="1"/>
  <c r="F15" i="2"/>
  <c r="R15" i="2" s="1"/>
  <c r="T15" i="2" s="1"/>
  <c r="E16" i="2"/>
  <c r="P16" i="2" s="1"/>
  <c r="S16" i="2" s="1"/>
  <c r="F16" i="2"/>
  <c r="R16" i="2" s="1"/>
  <c r="T16" i="2" s="1"/>
  <c r="E17" i="2"/>
  <c r="F17" i="2"/>
  <c r="E18" i="2"/>
  <c r="F18" i="2"/>
  <c r="E19" i="2"/>
  <c r="F19" i="2"/>
  <c r="R19" i="2" s="1"/>
  <c r="T19" i="2" s="1"/>
  <c r="E20" i="2"/>
  <c r="F20" i="2"/>
  <c r="R20" i="2" s="1"/>
  <c r="T20" i="2" s="1"/>
  <c r="E21" i="2"/>
  <c r="F21" i="2"/>
  <c r="E23" i="2"/>
  <c r="F23" i="2"/>
  <c r="Z23" i="2"/>
  <c r="E25" i="2"/>
  <c r="F25" i="2"/>
  <c r="G26" i="2"/>
  <c r="H26" i="2"/>
  <c r="I26" i="2"/>
  <c r="K26" i="2"/>
  <c r="E27" i="2"/>
  <c r="P27" i="2" s="1"/>
  <c r="S27" i="2" s="1"/>
  <c r="F27" i="2"/>
  <c r="R27" i="2" s="1"/>
  <c r="T27" i="2" s="1"/>
  <c r="E28" i="2"/>
  <c r="P28" i="2" s="1"/>
  <c r="S28" i="2" s="1"/>
  <c r="O28" i="2"/>
  <c r="F28" i="2" s="1"/>
  <c r="R28" i="2" s="1"/>
  <c r="T28" i="2" s="1"/>
  <c r="E29" i="2"/>
  <c r="F29" i="2"/>
  <c r="R29" i="2" s="1"/>
  <c r="T29" i="2" s="1"/>
  <c r="E30" i="2"/>
  <c r="P30" i="2" s="1"/>
  <c r="S30" i="2" s="1"/>
  <c r="F30" i="2"/>
  <c r="E31" i="2"/>
  <c r="F31" i="2"/>
  <c r="E32" i="2"/>
  <c r="F32" i="2"/>
  <c r="E33" i="2"/>
  <c r="F33" i="2"/>
  <c r="E34" i="2"/>
  <c r="F34" i="2"/>
  <c r="E35" i="2"/>
  <c r="F35" i="2"/>
  <c r="E36" i="2"/>
  <c r="P36" i="2" s="1"/>
  <c r="S36" i="2" s="1"/>
  <c r="F36" i="2"/>
  <c r="R36" i="2" s="1"/>
  <c r="T36" i="2" s="1"/>
  <c r="E37" i="2"/>
  <c r="P37" i="2" s="1"/>
  <c r="S37" i="2" s="1"/>
  <c r="O37" i="2"/>
  <c r="F37" i="2" s="1"/>
  <c r="E38" i="2"/>
  <c r="P38" i="2" s="1"/>
  <c r="S38" i="2" s="1"/>
  <c r="F38" i="2"/>
  <c r="R38" i="2" s="1"/>
  <c r="T38" i="2" s="1"/>
  <c r="E39" i="2"/>
  <c r="P39" i="2" s="1"/>
  <c r="S39" i="2" s="1"/>
  <c r="F39" i="2"/>
  <c r="R39" i="2" s="1"/>
  <c r="T39" i="2" s="1"/>
  <c r="E40" i="2"/>
  <c r="P40" i="2" s="1"/>
  <c r="S40" i="2" s="1"/>
  <c r="O40" i="2"/>
  <c r="F40" i="2" s="1"/>
  <c r="R40" i="2" s="1"/>
  <c r="T40" i="2" s="1"/>
  <c r="E42" i="2"/>
  <c r="G42" i="2" s="1"/>
  <c r="F42" i="2"/>
  <c r="R42" i="2" s="1"/>
  <c r="T42" i="2" s="1"/>
  <c r="E43" i="2"/>
  <c r="F43" i="2"/>
  <c r="R43" i="2" s="1"/>
  <c r="T43" i="2" s="1"/>
  <c r="E44" i="2"/>
  <c r="F44" i="2"/>
  <c r="R44" i="2" s="1"/>
  <c r="T44" i="2" s="1"/>
  <c r="E45" i="2"/>
  <c r="P45" i="2" s="1"/>
  <c r="S45" i="2" s="1"/>
  <c r="O45" i="2"/>
  <c r="F45" i="2" s="1"/>
  <c r="E46" i="2"/>
  <c r="F46" i="2"/>
  <c r="R46" i="2" s="1"/>
  <c r="T46" i="2" s="1"/>
  <c r="E47" i="2"/>
  <c r="P47" i="2" s="1"/>
  <c r="S47" i="2" s="1"/>
  <c r="O47" i="2"/>
  <c r="F47" i="2" s="1"/>
  <c r="R47" i="2" s="1"/>
  <c r="T47" i="2" s="1"/>
  <c r="E48" i="2"/>
  <c r="P48" i="2" s="1"/>
  <c r="S48" i="2" s="1"/>
  <c r="F48" i="2"/>
  <c r="E49" i="2"/>
  <c r="F49" i="2"/>
  <c r="R49" i="2" s="1"/>
  <c r="T49" i="2" s="1"/>
  <c r="E50" i="2"/>
  <c r="P50" i="2" s="1"/>
  <c r="S50" i="2" s="1"/>
  <c r="F50" i="2"/>
  <c r="R50" i="2" s="1"/>
  <c r="T50" i="2" s="1"/>
  <c r="E51" i="2"/>
  <c r="P51" i="2" s="1"/>
  <c r="S51" i="2" s="1"/>
  <c r="F51" i="2"/>
  <c r="E52" i="2"/>
  <c r="P52" i="2" s="1"/>
  <c r="S52" i="2" s="1"/>
  <c r="F52" i="2"/>
  <c r="R52" i="2" s="1"/>
  <c r="T52" i="2" s="1"/>
  <c r="E53" i="2"/>
  <c r="P53" i="2" s="1"/>
  <c r="S53" i="2" s="1"/>
  <c r="F53" i="2"/>
  <c r="R53" i="2" s="1"/>
  <c r="T53" i="2" s="1"/>
  <c r="E54" i="2"/>
  <c r="F54" i="2"/>
  <c r="E55" i="2"/>
  <c r="P55" i="2" s="1"/>
  <c r="S55" i="2" s="1"/>
  <c r="O55" i="2"/>
  <c r="F55" i="2" s="1"/>
  <c r="R55" i="2" s="1"/>
  <c r="T55" i="2" s="1"/>
  <c r="E56" i="2"/>
  <c r="P56" i="2" s="1"/>
  <c r="S56" i="2" s="1"/>
  <c r="F56" i="2"/>
  <c r="R56" i="2" s="1"/>
  <c r="T56" i="2" s="1"/>
  <c r="E57" i="2"/>
  <c r="P57" i="2" s="1"/>
  <c r="S57" i="2" s="1"/>
  <c r="F57" i="2"/>
  <c r="R57" i="2" s="1"/>
  <c r="T57" i="2" s="1"/>
  <c r="E58" i="2"/>
  <c r="P58" i="2" s="1"/>
  <c r="S58" i="2" s="1"/>
  <c r="F58" i="2"/>
  <c r="E59" i="2"/>
  <c r="F59" i="2"/>
  <c r="E60" i="2"/>
  <c r="P60" i="2" s="1"/>
  <c r="S60" i="2" s="1"/>
  <c r="F60" i="2"/>
  <c r="R60" i="2" s="1"/>
  <c r="T60" i="2" s="1"/>
  <c r="E61" i="2"/>
  <c r="F61" i="2"/>
  <c r="E62" i="2"/>
  <c r="P62" i="2" s="1"/>
  <c r="S62" i="2" s="1"/>
  <c r="F62" i="2"/>
  <c r="R62" i="2" s="1"/>
  <c r="T62" i="2" s="1"/>
  <c r="E63" i="2"/>
  <c r="F63" i="2"/>
  <c r="E64" i="2"/>
  <c r="F64" i="2"/>
  <c r="E65" i="2"/>
  <c r="F65" i="2"/>
  <c r="E66" i="2"/>
  <c r="F66" i="2"/>
  <c r="E67" i="2"/>
  <c r="P67" i="2" s="1"/>
  <c r="S67" i="2" s="1"/>
  <c r="F67" i="2"/>
  <c r="R67" i="2" s="1"/>
  <c r="T67" i="2" s="1"/>
  <c r="E72" i="2"/>
  <c r="F72" i="2"/>
  <c r="R72" i="2" s="1"/>
  <c r="T72" i="2" s="1"/>
  <c r="E68" i="2"/>
  <c r="F68" i="2"/>
  <c r="R68" i="2" s="1"/>
  <c r="T68" i="2" s="1"/>
  <c r="B85" i="2"/>
  <c r="C12" i="4"/>
  <c r="E62" i="4"/>
  <c r="E63" i="4" s="1"/>
  <c r="C63" i="4"/>
  <c r="D63" i="4"/>
  <c r="M23" i="1"/>
  <c r="J22" i="1"/>
  <c r="J24" i="1"/>
  <c r="G27" i="1"/>
  <c r="X38" i="1"/>
  <c r="G46" i="1"/>
  <c r="R46" i="1"/>
  <c r="S46" i="1" s="1"/>
  <c r="W46" i="1" s="1"/>
  <c r="R79" i="1"/>
  <c r="R82" i="1" s="1"/>
  <c r="S79" i="1"/>
  <c r="S83" i="1" s="1"/>
  <c r="V79" i="1"/>
  <c r="W79" i="1"/>
  <c r="U85" i="1"/>
  <c r="P13" i="2"/>
  <c r="S13" i="2" s="1"/>
  <c r="J10" i="1"/>
  <c r="M9" i="1"/>
  <c r="M18" i="1" s="1"/>
  <c r="G8" i="1"/>
  <c r="G16" i="1"/>
  <c r="G71" i="2" l="1"/>
  <c r="H71" i="2"/>
  <c r="L71" i="2" s="1"/>
  <c r="P9" i="2"/>
  <c r="S9" i="2" s="1"/>
  <c r="G9" i="2"/>
  <c r="H32" i="2"/>
  <c r="L32" i="2" s="1"/>
  <c r="H34" i="2"/>
  <c r="L34" i="2" s="1"/>
  <c r="G69" i="2"/>
  <c r="H64" i="2"/>
  <c r="L64" i="2" s="1"/>
  <c r="G15" i="2"/>
  <c r="G48" i="2"/>
  <c r="G51" i="2"/>
  <c r="H23" i="2"/>
  <c r="L23" i="2" s="1"/>
  <c r="H20" i="2"/>
  <c r="L20" i="2" s="1"/>
  <c r="H16" i="2"/>
  <c r="L16" i="2" s="1"/>
  <c r="H57" i="2"/>
  <c r="L57" i="2" s="1"/>
  <c r="G57" i="2"/>
  <c r="G44" i="2"/>
  <c r="H42" i="2"/>
  <c r="L42" i="2" s="1"/>
  <c r="G33" i="2"/>
  <c r="H29" i="2"/>
  <c r="L29" i="2" s="1"/>
  <c r="G10" i="2"/>
  <c r="G17" i="2"/>
  <c r="H65" i="2"/>
  <c r="L65" i="2" s="1"/>
  <c r="G63" i="2"/>
  <c r="G54" i="2"/>
  <c r="G50" i="2"/>
  <c r="G35" i="2"/>
  <c r="H14" i="2"/>
  <c r="L14" i="2" s="1"/>
  <c r="H12" i="2"/>
  <c r="L12" i="2" s="1"/>
  <c r="G58" i="2"/>
  <c r="G14" i="2"/>
  <c r="G64" i="2"/>
  <c r="H50" i="2"/>
  <c r="L50" i="2" s="1"/>
  <c r="G30" i="2"/>
  <c r="P29" i="2"/>
  <c r="S29" i="2" s="1"/>
  <c r="H61" i="2"/>
  <c r="L61" i="2" s="1"/>
  <c r="P42" i="2"/>
  <c r="S42" i="2" s="1"/>
  <c r="G23" i="2"/>
  <c r="G32" i="2"/>
  <c r="G29" i="2"/>
  <c r="G65" i="2"/>
  <c r="H53" i="2"/>
  <c r="L53" i="2" s="1"/>
  <c r="H35" i="2"/>
  <c r="L35" i="2" s="1"/>
  <c r="L26" i="2"/>
  <c r="H21" i="2"/>
  <c r="L21" i="2" s="1"/>
  <c r="G13" i="2"/>
  <c r="G20" i="2"/>
  <c r="P20" i="2"/>
  <c r="S20" i="2" s="1"/>
  <c r="R48" i="2"/>
  <c r="T48" i="2" s="1"/>
  <c r="G72" i="2"/>
  <c r="H66" i="2"/>
  <c r="L66" i="2" s="1"/>
  <c r="H60" i="2"/>
  <c r="L60" i="2" s="1"/>
  <c r="R58" i="2"/>
  <c r="T58" i="2" s="1"/>
  <c r="R51" i="2"/>
  <c r="T51" i="2" s="1"/>
  <c r="H49" i="2"/>
  <c r="L49" i="2" s="1"/>
  <c r="H46" i="2"/>
  <c r="L46" i="2" s="1"/>
  <c r="H43" i="2"/>
  <c r="L43" i="2" s="1"/>
  <c r="G31" i="2"/>
  <c r="H28" i="2"/>
  <c r="L28" i="2" s="1"/>
  <c r="H19" i="2"/>
  <c r="L19" i="2" s="1"/>
  <c r="H13" i="2"/>
  <c r="L13" i="2" s="1"/>
  <c r="G60" i="2"/>
  <c r="H54" i="2"/>
  <c r="L54" i="2" s="1"/>
  <c r="H38" i="2"/>
  <c r="L38" i="2" s="1"/>
  <c r="H17" i="2"/>
  <c r="L17" i="2" s="1"/>
  <c r="G38" i="2"/>
  <c r="G12" i="2"/>
  <c r="H67" i="2"/>
  <c r="L67" i="2" s="1"/>
  <c r="G62" i="2"/>
  <c r="G61" i="2"/>
  <c r="G59" i="2"/>
  <c r="H47" i="2"/>
  <c r="L47" i="2" s="1"/>
  <c r="G40" i="2"/>
  <c r="H33" i="2"/>
  <c r="L33" i="2" s="1"/>
  <c r="R30" i="2"/>
  <c r="T30" i="2" s="1"/>
  <c r="G27" i="2"/>
  <c r="G25" i="2"/>
  <c r="G21" i="2"/>
  <c r="P19" i="2"/>
  <c r="S19" i="2" s="1"/>
  <c r="H18" i="2"/>
  <c r="L18" i="2" s="1"/>
  <c r="R10" i="2"/>
  <c r="T10" i="2" s="1"/>
  <c r="G30" i="1"/>
  <c r="M52" i="1"/>
  <c r="V58" i="1"/>
  <c r="R45" i="2"/>
  <c r="T45" i="2" s="1"/>
  <c r="H45" i="2"/>
  <c r="L45" i="2" s="1"/>
  <c r="G45" i="2"/>
  <c r="P68" i="2"/>
  <c r="S68" i="2" s="1"/>
  <c r="H68" i="2"/>
  <c r="L68" i="2" s="1"/>
  <c r="H55" i="2"/>
  <c r="L55" i="2" s="1"/>
  <c r="G37" i="2"/>
  <c r="R37" i="2"/>
  <c r="T37" i="2" s="1"/>
  <c r="H37" i="2"/>
  <c r="L37" i="2" s="1"/>
  <c r="G55" i="2"/>
  <c r="G68" i="2"/>
  <c r="G16" i="2"/>
  <c r="G43" i="2"/>
  <c r="G49" i="2"/>
  <c r="G56" i="2"/>
  <c r="G11" i="2"/>
  <c r="P43" i="2"/>
  <c r="S43" i="2" s="1"/>
  <c r="G52" i="2"/>
  <c r="H63" i="2"/>
  <c r="L63" i="2" s="1"/>
  <c r="H59" i="2"/>
  <c r="L59" i="2" s="1"/>
  <c r="H52" i="2"/>
  <c r="L52" i="2" s="1"/>
  <c r="H48" i="2"/>
  <c r="L48" i="2" s="1"/>
  <c r="H39" i="2"/>
  <c r="L39" i="2" s="1"/>
  <c r="H31" i="2"/>
  <c r="L31" i="2" s="1"/>
  <c r="H25" i="2"/>
  <c r="L25" i="2" s="1"/>
  <c r="H15" i="2"/>
  <c r="L15" i="2" s="1"/>
  <c r="H11" i="2"/>
  <c r="L11" i="2" s="1"/>
  <c r="H69" i="2"/>
  <c r="L69" i="2" s="1"/>
  <c r="G39" i="2"/>
  <c r="G46" i="2"/>
  <c r="G53" i="2"/>
  <c r="P72" i="2"/>
  <c r="S72" i="2" s="1"/>
  <c r="P49" i="2"/>
  <c r="S49" i="2" s="1"/>
  <c r="G67" i="2"/>
  <c r="G47" i="2"/>
  <c r="H72" i="2"/>
  <c r="L72" i="2" s="1"/>
  <c r="G66" i="2"/>
  <c r="H56" i="2"/>
  <c r="L56" i="2" s="1"/>
  <c r="H36" i="2"/>
  <c r="L36" i="2" s="1"/>
  <c r="G34" i="2"/>
  <c r="H27" i="2"/>
  <c r="L27" i="2" s="1"/>
  <c r="G18" i="2"/>
  <c r="H8" i="2"/>
  <c r="L8" i="2" s="1"/>
  <c r="G8" i="2"/>
  <c r="G36" i="2"/>
  <c r="P44" i="2"/>
  <c r="S44" i="2" s="1"/>
  <c r="G19" i="2"/>
  <c r="P46" i="2"/>
  <c r="S46" i="2" s="1"/>
  <c r="G28" i="2"/>
  <c r="H40" i="2"/>
  <c r="L40" i="2" s="1"/>
  <c r="H62" i="2"/>
  <c r="L62" i="2" s="1"/>
  <c r="H58" i="2"/>
  <c r="L58" i="2" s="1"/>
  <c r="H51" i="2"/>
  <c r="L51" i="2" s="1"/>
  <c r="H44" i="2"/>
  <c r="L44" i="2" s="1"/>
  <c r="H30" i="2"/>
  <c r="L30" i="2" s="1"/>
  <c r="H10" i="2"/>
  <c r="L10" i="2" s="1"/>
  <c r="J8" i="1"/>
  <c r="J18" i="1"/>
  <c r="C21" i="4"/>
  <c r="J25" i="1"/>
  <c r="J16" i="1" s="1"/>
  <c r="O38" i="1"/>
  <c r="M55" i="1" s="1"/>
  <c r="M53" i="1"/>
  <c r="G26" i="1"/>
  <c r="G28" i="1" s="1"/>
  <c r="X61" i="1"/>
  <c r="W61" i="1"/>
  <c r="M15" i="1"/>
  <c r="M30" i="1" s="1"/>
  <c r="M8" i="1"/>
  <c r="C41" i="4"/>
  <c r="S82" i="1"/>
  <c r="R83" i="1"/>
  <c r="E41" i="4" l="1"/>
  <c r="D41" i="4"/>
  <c r="D40" i="4" s="1"/>
  <c r="X8" i="1"/>
  <c r="W10" i="1" s="1"/>
  <c r="K38" i="1"/>
  <c r="J15" i="1"/>
  <c r="U61" i="1"/>
  <c r="V61" i="1"/>
  <c r="G29" i="1"/>
  <c r="W62" i="1"/>
  <c r="G38" i="4"/>
  <c r="K52" i="1" l="1"/>
  <c r="E40" i="4"/>
  <c r="G40" i="4" s="1"/>
  <c r="R11" i="1"/>
  <c r="Q11" i="1"/>
  <c r="H17" i="1"/>
  <c r="G17" i="1"/>
  <c r="G41" i="4"/>
  <c r="J30" i="1"/>
  <c r="U62" i="1"/>
  <c r="P66" i="1" l="1"/>
  <c r="J66" i="1"/>
  <c r="W63" i="1"/>
  <c r="X63" i="1" s="1"/>
  <c r="U63" i="1"/>
  <c r="V63" i="1" s="1"/>
  <c r="D17" i="1"/>
  <c r="J17" i="1" s="1"/>
  <c r="M17" i="1" l="1"/>
  <c r="R80" i="1"/>
  <c r="U83" i="1"/>
  <c r="T83" i="1" l="1"/>
  <c r="T82" i="1"/>
  <c r="R81" i="1"/>
  <c r="K61" i="1" l="1"/>
  <c r="O61" i="1"/>
  <c r="X57" i="1"/>
  <c r="M61" i="1" l="1"/>
  <c r="M62" i="1" s="1"/>
  <c r="J61" i="1"/>
  <c r="J62" i="1" s="1"/>
  <c r="M46" i="1"/>
  <c r="J58" i="1"/>
  <c r="J27" i="1"/>
  <c r="M27" i="1"/>
  <c r="M29" i="1" s="1"/>
  <c r="J63" i="1" l="1"/>
  <c r="K63" i="1" s="1"/>
  <c r="M63" i="1"/>
  <c r="O63" i="1" s="1"/>
  <c r="J28" i="1"/>
  <c r="J29" i="1"/>
  <c r="I52" i="1" l="1"/>
  <c r="J59" i="1" s="1"/>
  <c r="M59" i="1" s="1"/>
  <c r="K59" i="1" l="1"/>
  <c r="X48" i="1"/>
  <c r="T58" i="1" s="1"/>
  <c r="W48" i="1" s="1"/>
  <c r="V59" i="1" s="1"/>
  <c r="G57" i="1" l="1"/>
  <c r="O59" i="1"/>
  <c r="W59" i="1"/>
  <c r="X59" i="1"/>
</calcChain>
</file>

<file path=xl/sharedStrings.xml><?xml version="1.0" encoding="utf-8"?>
<sst xmlns="http://schemas.openxmlformats.org/spreadsheetml/2006/main" count="692" uniqueCount="355">
  <si>
    <t>Resolución en Visión y CCD</t>
  </si>
  <si>
    <t>Plate Scale en plano focal</t>
  </si>
  <si>
    <t xml:space="preserve"> https://www.ap-i.net/avl/fr/start</t>
  </si>
  <si>
    <t xml:space="preserve">           OCUPARÁ EN LA "CCD"</t>
  </si>
  <si>
    <t>Bases Ref.</t>
  </si>
  <si>
    <t>Barlow  x</t>
  </si>
  <si>
    <t>H</t>
  </si>
  <si>
    <t>V</t>
  </si>
  <si>
    <t>ATK1CII</t>
  </si>
  <si>
    <t>PHILIPS</t>
  </si>
  <si>
    <t>CCD</t>
  </si>
  <si>
    <t>CMOS</t>
  </si>
  <si>
    <t>CANON</t>
  </si>
  <si>
    <t>NIKON</t>
  </si>
  <si>
    <t>COOLPIX 4500</t>
  </si>
  <si>
    <t>LOGITECH</t>
  </si>
  <si>
    <t>Quick Cam 4000</t>
  </si>
  <si>
    <t>Tipo</t>
  </si>
  <si>
    <t>RDC4200</t>
  </si>
  <si>
    <t>x</t>
  </si>
  <si>
    <t>ToUcam Pro II</t>
  </si>
  <si>
    <t>ATIK</t>
  </si>
  <si>
    <t>RICOH</t>
  </si>
  <si>
    <t>SONY</t>
  </si>
  <si>
    <t>DSC P100</t>
  </si>
  <si>
    <t>1004 X</t>
  </si>
  <si>
    <t>JG_Peltier</t>
  </si>
  <si>
    <t>PENTAX</t>
  </si>
  <si>
    <t>IST DS</t>
  </si>
  <si>
    <t>OLYMPUS</t>
  </si>
  <si>
    <t>EOS 350D</t>
  </si>
  <si>
    <t>SXV-M25C</t>
  </si>
  <si>
    <t>SBIG</t>
  </si>
  <si>
    <t>MEADE</t>
  </si>
  <si>
    <t>PICTOR 416</t>
  </si>
  <si>
    <t>SXV-M8C</t>
  </si>
  <si>
    <t>STARLIGHT</t>
  </si>
  <si>
    <t>PANASONIC</t>
  </si>
  <si>
    <t>DMC-LC5</t>
  </si>
  <si>
    <t>Básicos del Telescopio</t>
  </si>
  <si>
    <t>Relación focal   F</t>
  </si>
  <si>
    <t xml:space="preserve">Ocular </t>
  </si>
  <si>
    <t xml:space="preserve">df </t>
  </si>
  <si>
    <t>Adicionales</t>
  </si>
  <si>
    <r>
      <t xml:space="preserve">Marcas  </t>
    </r>
    <r>
      <rPr>
        <b/>
        <sz val="11"/>
        <color indexed="62"/>
        <rFont val="Arial Narrow"/>
        <family val="2"/>
      </rPr>
      <t/>
    </r>
  </si>
  <si>
    <t>APOGEE</t>
  </si>
  <si>
    <t>AP9E</t>
  </si>
  <si>
    <t>AP32ME</t>
  </si>
  <si>
    <t>AP4</t>
  </si>
  <si>
    <t>en Ocular</t>
  </si>
  <si>
    <t>SXV-H9C</t>
  </si>
  <si>
    <t>ARTEMIS</t>
  </si>
  <si>
    <t>MX716</t>
  </si>
  <si>
    <t>DMK 21F04</t>
  </si>
  <si>
    <t>LPI</t>
  </si>
  <si>
    <t>D70</t>
  </si>
  <si>
    <t>-</t>
  </si>
  <si>
    <t>h</t>
  </si>
  <si>
    <t>m</t>
  </si>
  <si>
    <t>s</t>
  </si>
  <si>
    <t>mes</t>
  </si>
  <si>
    <t>día</t>
  </si>
  <si>
    <t>año d.C.</t>
  </si>
  <si>
    <t>E-330</t>
  </si>
  <si>
    <t>DSI Pro II</t>
  </si>
  <si>
    <t xml:space="preserve">STL11000XM </t>
  </si>
  <si>
    <t>Aumentos equivalentes</t>
  </si>
  <si>
    <t>ATK16IC</t>
  </si>
  <si>
    <t>Ø</t>
  </si>
  <si>
    <t>ST-7XM</t>
  </si>
  <si>
    <t>ST-8XE</t>
  </si>
  <si>
    <t>TABLA_06</t>
  </si>
  <si>
    <t>Para el fondo de cielo "FC" ver</t>
  </si>
  <si>
    <t>dependiendo del FWHM</t>
  </si>
  <si>
    <t>WATEC</t>
  </si>
  <si>
    <t>WAT-100N</t>
  </si>
  <si>
    <t>ORION</t>
  </si>
  <si>
    <t>StarShoot Pro</t>
  </si>
  <si>
    <t xml:space="preserve">Modelo              enlace a URL </t>
  </si>
  <si>
    <t>EOS 300D</t>
  </si>
  <si>
    <t>hora</t>
  </si>
  <si>
    <t>min</t>
  </si>
  <si>
    <t>seg</t>
  </si>
  <si>
    <t>año</t>
  </si>
  <si>
    <t>JD</t>
  </si>
  <si>
    <t>DECIMAL</t>
  </si>
  <si>
    <t>formato</t>
  </si>
  <si>
    <t>LUMENERA</t>
  </si>
  <si>
    <t>SkyNyx 2.0</t>
  </si>
  <si>
    <t>FOCO PRIMARIO</t>
  </si>
  <si>
    <t>PROYECCIÓN de OCULAR</t>
  </si>
  <si>
    <t>Campo</t>
  </si>
  <si>
    <t>NMOS</t>
  </si>
  <si>
    <t>http://www.kodak.com/global/en/business/ISS/Products/Fullframe/</t>
  </si>
  <si>
    <t>Sensores Fullframe SONY</t>
  </si>
  <si>
    <t>Sensores Fullframe KODAK</t>
  </si>
  <si>
    <t>QHY5</t>
  </si>
  <si>
    <t>TeleXtender dist. Ocu. Sensor</t>
  </si>
  <si>
    <t>MT9M001</t>
  </si>
  <si>
    <t>EOS 5D II</t>
  </si>
  <si>
    <t>avi 30fps</t>
  </si>
  <si>
    <t>QHY9</t>
  </si>
  <si>
    <t>QHY8</t>
  </si>
  <si>
    <t xml:space="preserve">Formato </t>
  </si>
  <si>
    <t>Tipo y Modelo</t>
  </si>
  <si>
    <t xml:space="preserve">Chip Sensor </t>
  </si>
  <si>
    <t>Marca y Modelo</t>
  </si>
  <si>
    <t>UTC - España :                Verano  LT-2 Invierno  LT-1</t>
  </si>
  <si>
    <t>---</t>
  </si>
  <si>
    <r>
      <t xml:space="preserve">CARACTERISTICAS de CAMARAS DIGITALES </t>
    </r>
    <r>
      <rPr>
        <b/>
        <i/>
        <sz val="14"/>
        <color indexed="9"/>
        <rFont val="Arial"/>
        <family val="2"/>
      </rPr>
      <t xml:space="preserve"> </t>
    </r>
    <r>
      <rPr>
        <i/>
        <sz val="14"/>
        <color indexed="9"/>
        <rFont val="Arial"/>
        <family val="2"/>
      </rPr>
      <t/>
    </r>
  </si>
  <si>
    <r>
      <t xml:space="preserve">Relación de Cámaras   "DSLR"  y  </t>
    </r>
    <r>
      <rPr>
        <b/>
        <sz val="11"/>
        <color indexed="22"/>
        <rFont val="Arial"/>
        <family val="2"/>
      </rPr>
      <t>"Específicas"</t>
    </r>
  </si>
  <si>
    <t>EOS 400D</t>
  </si>
  <si>
    <t>ref.Cám. 36 mm</t>
  </si>
  <si>
    <t>nº Effective Píxels   Hriz. Vert. y total</t>
  </si>
  <si>
    <t>ART285C</t>
  </si>
  <si>
    <t>ART4021</t>
  </si>
  <si>
    <t>ATK16HRC</t>
  </si>
  <si>
    <t>QHY12</t>
  </si>
  <si>
    <t>ATK1HS</t>
  </si>
  <si>
    <t>EOS 1000</t>
  </si>
  <si>
    <t>sRGB</t>
  </si>
  <si>
    <t>CARACTERÍSTICAS de la '' DSLR ''</t>
  </si>
  <si>
    <t>ICX285AL</t>
  </si>
  <si>
    <t>ATK 383L+</t>
  </si>
  <si>
    <t>ICX429ALL</t>
  </si>
  <si>
    <t>SXVF-M25C</t>
  </si>
  <si>
    <t>DMK 21AU4AS</t>
  </si>
  <si>
    <t>Para ACTUALIZAR   Fecha y Hora   -   pulsar  F9</t>
  </si>
  <si>
    <t>SXVR-H18</t>
  </si>
  <si>
    <t>DMK21AU618</t>
  </si>
  <si>
    <t>The Imaging Source</t>
  </si>
  <si>
    <r>
      <t>Pixel  µm</t>
    </r>
    <r>
      <rPr>
        <sz val="11"/>
        <color indexed="9"/>
        <rFont val="Arial"/>
        <family val="2"/>
      </rPr>
      <t xml:space="preserve">  </t>
    </r>
  </si>
  <si>
    <t xml:space="preserve">Sensores:  KODAK (KAF)  SONY (ICX) </t>
  </si>
  <si>
    <t>ICX098BQ</t>
  </si>
  <si>
    <t>ICX424AL</t>
  </si>
  <si>
    <t>KAF8300CE</t>
  </si>
  <si>
    <t>ICX424</t>
  </si>
  <si>
    <t>KAI2020CM</t>
  </si>
  <si>
    <t>KAF0402ME</t>
  </si>
  <si>
    <t>ICX429AL</t>
  </si>
  <si>
    <t>ICX406AQ</t>
  </si>
  <si>
    <t>KAF8300M</t>
  </si>
  <si>
    <t>ICX453AQ</t>
  </si>
  <si>
    <t>ICX413AQ</t>
  </si>
  <si>
    <t>ICX098BL</t>
  </si>
  <si>
    <t>ICX618ALA</t>
  </si>
  <si>
    <t>DMK31AU03</t>
  </si>
  <si>
    <t xml:space="preserve"> ICX204AL</t>
  </si>
  <si>
    <t>B/W</t>
  </si>
  <si>
    <t xml:space="preserve">BREVES COMENTARIOS ORIENTATIVOS SOBRE OBTENIDOS </t>
  </si>
  <si>
    <t>CONFIGURACIÓN DEL TELESCOPIO</t>
  </si>
  <si>
    <t>Sobre Tomas, ISO y SNR, en cielo profundo</t>
  </si>
  <si>
    <t>ST-2000XCM</t>
  </si>
  <si>
    <t>Chip-Sensor en mm</t>
  </si>
  <si>
    <t>DMK41AU02AS</t>
  </si>
  <si>
    <t>ICX205AL</t>
  </si>
  <si>
    <t xml:space="preserve">Distancia </t>
  </si>
  <si>
    <t xml:space="preserve">Los 4 cráteres ocupan la imagen </t>
  </si>
  <si>
    <t>F.O.V. obtenido en modo "Foco Primario" o "Proyección de Ocular"</t>
  </si>
  <si>
    <t>De la imagen veremos un ± 41%</t>
  </si>
  <si>
    <t xml:space="preserve">Sensor </t>
  </si>
  <si>
    <t>LUNATICO</t>
  </si>
  <si>
    <t>QHY 5L II</t>
  </si>
  <si>
    <t>MT9M034</t>
  </si>
  <si>
    <t>ISO y tiempo ±</t>
  </si>
  <si>
    <t>VISIÓN</t>
  </si>
  <si>
    <t xml:space="preserve">Seleccionar el Modo de Observación   </t>
  </si>
  <si>
    <r>
      <t>Con turbulencia fuerte</t>
    </r>
    <r>
      <rPr>
        <sz val="10"/>
        <color indexed="16"/>
        <rFont val="Arial"/>
        <family val="2"/>
      </rPr>
      <t xml:space="preserve"> usar F10 o F15,  es preferible la imagen pequeña en videos, porque podemos subir velocidad del shutter para mejorar detalles.  Son más estables las ampliaciones F20 a F40 y actuar con fps en CCD.                                                                                                                               </t>
    </r>
  </si>
  <si>
    <t>sobre CCD</t>
  </si>
  <si>
    <t>Objetivo</t>
  </si>
  <si>
    <t>de la imagen obtenida [Campo cubierto]</t>
  </si>
  <si>
    <r>
      <t>MODOS de OBSERVACIÓN o GRABACIÓN</t>
    </r>
    <r>
      <rPr>
        <b/>
        <sz val="14"/>
        <color indexed="60"/>
        <rFont val="Verdana"/>
        <family val="2"/>
      </rPr>
      <t xml:space="preserve">   </t>
    </r>
  </si>
  <si>
    <t>STT 8300</t>
  </si>
  <si>
    <t>KAF8300</t>
  </si>
  <si>
    <t>BASLER</t>
  </si>
  <si>
    <t>acA640-90</t>
  </si>
  <si>
    <t>avi 82fps</t>
  </si>
  <si>
    <t>ST-9E</t>
  </si>
  <si>
    <t>KAF0261E</t>
  </si>
  <si>
    <t>ZWO</t>
  </si>
  <si>
    <t xml:space="preserve"> MT9M034 </t>
  </si>
  <si>
    <t>De interés relacionado leer</t>
  </si>
  <si>
    <t>ST8-XME</t>
  </si>
  <si>
    <r>
      <t xml:space="preserve">más Guía de 650x495 px de 7,4 </t>
    </r>
    <r>
      <rPr>
        <sz val="11"/>
        <rFont val="Symbol"/>
        <family val="1"/>
        <charset val="2"/>
      </rPr>
      <t>m</t>
    </r>
    <r>
      <rPr>
        <sz val="11"/>
        <rFont val="Arial"/>
        <family val="2"/>
      </rPr>
      <t>m</t>
    </r>
  </si>
  <si>
    <t>KAF-1603ME</t>
  </si>
  <si>
    <t>Filtros  % Transmisión</t>
  </si>
  <si>
    <t>EOS 1200 D</t>
  </si>
  <si>
    <t>ADICIONALES</t>
  </si>
  <si>
    <r>
      <t xml:space="preserve">nº px </t>
    </r>
    <r>
      <rPr>
        <sz val="12"/>
        <color indexed="8"/>
        <rFont val="Arial"/>
        <family val="2"/>
      </rPr>
      <t>(en H)</t>
    </r>
    <r>
      <rPr>
        <b/>
        <sz val="12"/>
        <color indexed="8"/>
        <rFont val="Arial"/>
        <family val="2"/>
      </rPr>
      <t xml:space="preserve"> =</t>
    </r>
    <r>
      <rPr>
        <sz val="12"/>
        <color indexed="8"/>
        <rFont val="Arial"/>
        <family val="2"/>
      </rPr>
      <t xml:space="preserve"> </t>
    </r>
    <r>
      <rPr>
        <b/>
        <sz val="12"/>
        <color indexed="8"/>
        <rFont val="Arial"/>
        <family val="2"/>
      </rPr>
      <t>H</t>
    </r>
    <r>
      <rPr>
        <sz val="9"/>
        <color indexed="8"/>
        <rFont val="Arial"/>
        <family val="2"/>
      </rPr>
      <t xml:space="preserve">mm </t>
    </r>
    <r>
      <rPr>
        <b/>
        <sz val="12"/>
        <color indexed="8"/>
        <rFont val="Arial"/>
        <family val="2"/>
      </rPr>
      <t>/</t>
    </r>
    <r>
      <rPr>
        <sz val="12"/>
        <color indexed="8"/>
        <rFont val="Arial"/>
        <family val="2"/>
      </rPr>
      <t xml:space="preserve"> (</t>
    </r>
    <r>
      <rPr>
        <b/>
        <sz val="12"/>
        <color indexed="8"/>
        <rFont val="Arial"/>
        <family val="2"/>
      </rPr>
      <t>px</t>
    </r>
    <r>
      <rPr>
        <sz val="9"/>
        <color indexed="8"/>
        <rFont val="Arial"/>
        <family val="2"/>
      </rPr>
      <t xml:space="preserve">µm </t>
    </r>
    <r>
      <rPr>
        <sz val="12"/>
        <color indexed="8"/>
        <rFont val="Arial"/>
        <family val="2"/>
      </rPr>
      <t>/</t>
    </r>
    <r>
      <rPr>
        <sz val="9"/>
        <color indexed="8"/>
        <rFont val="Arial"/>
        <family val="2"/>
      </rPr>
      <t>10^3</t>
    </r>
    <r>
      <rPr>
        <sz val="12"/>
        <color indexed="8"/>
        <rFont val="Arial"/>
        <family val="2"/>
      </rPr>
      <t>)</t>
    </r>
  </si>
  <si>
    <r>
      <t>Seleccionar:</t>
    </r>
    <r>
      <rPr>
        <b/>
        <sz val="11"/>
        <color indexed="9"/>
        <rFont val="Copperplate Gothic Bold"/>
        <family val="2"/>
      </rPr>
      <t xml:space="preserve">   B/N   RGB   L-RGB </t>
    </r>
  </si>
  <si>
    <t>En consecuencia y con cualquiera de los dos métodos, indica si cabrá el Objeto a fotografiar y por tanto "OCUPARÁ en la CCD", o si "se VERÁ PARCIALMENTE" y repercutiendo en la imagen final obtenida.</t>
  </si>
  <si>
    <t>ASI224MC</t>
  </si>
  <si>
    <t>IMX224</t>
  </si>
  <si>
    <t>Color</t>
  </si>
  <si>
    <t>Máxima "Magnitud visual" para ese Ø del Telescopio y respecto al Seeing</t>
  </si>
  <si>
    <t>=</t>
  </si>
  <si>
    <t>Para Magnitud &gt; 3,0 anotar  "Tiempo por toma" entre 120 y 600 seg c/u</t>
  </si>
  <si>
    <t>NOTA:  Si trabaja con TABLA_01, recomendamos descargue esta última versión, para disfrutar de sus actualizaciones.</t>
  </si>
  <si>
    <t xml:space="preserve">    Sensor  </t>
  </si>
  <si>
    <t>Field of View ''FOV'' en H y V  en 'arc</t>
  </si>
  <si>
    <t>reduce</t>
  </si>
  <si>
    <t xml:space="preserve"> se VERÁ PARCIAL</t>
  </si>
  <si>
    <t>APORTES PARA CONFIGURAR LA "TABLA_01"</t>
  </si>
  <si>
    <t/>
  </si>
  <si>
    <t>VERIFICACIONES sobre Monitor</t>
  </si>
  <si>
    <t>Hora UTC</t>
  </si>
  <si>
    <t>QHY5PII</t>
  </si>
  <si>
    <t>MT9P031 mono</t>
  </si>
  <si>
    <t>Modalidad de captación</t>
  </si>
  <si>
    <t>Própia</t>
  </si>
  <si>
    <t>Magnitud Límite (fondo cielo)</t>
  </si>
  <si>
    <t xml:space="preserve">por Seeing y Red.Focal  </t>
  </si>
  <si>
    <t>Carta EIA 1956</t>
  </si>
  <si>
    <t>PRINCIPIO:  Entendemos composición idónea en telescopios, aquella que aporte el mayor tamaño en % del Objeto fotografiado respecto a la pantalla del Monitor, más su calidad respecto al FWHM / Resolución y en resumen, la que obtendremos en la imagen final, con el máximo de detalles.</t>
  </si>
  <si>
    <t>LT a UTC</t>
  </si>
  <si>
    <t>Para obtener los grados CMI, CMII y CMIII</t>
  </si>
  <si>
    <t>http://www.pvol.ehu.es/pvol/tools.jsp?action=jdcm</t>
  </si>
  <si>
    <t>Reducción de ruido</t>
  </si>
  <si>
    <r>
      <t>Sobre Binning  y Tomas</t>
    </r>
    <r>
      <rPr>
        <sz val="11"/>
        <color indexed="9"/>
        <rFont val="Arial"/>
        <family val="2"/>
      </rPr>
      <t xml:space="preserve"> </t>
    </r>
    <r>
      <rPr>
        <b/>
        <sz val="11"/>
        <color indexed="9"/>
        <rFont val="Arial"/>
        <family val="2"/>
      </rPr>
      <t>(t)</t>
    </r>
  </si>
  <si>
    <t>FORMATOS PARA FECHAR TRABAJOS (en UTC)</t>
  </si>
  <si>
    <t>Anotar diferencia del "horario local" ( LT ) a horario universal ( UTC )</t>
  </si>
  <si>
    <t>modificar cada último domingo de Marzo y Octubre desde 1996</t>
  </si>
  <si>
    <t>ASI174MM</t>
  </si>
  <si>
    <t>IMX174</t>
  </si>
  <si>
    <t>ASI183MM</t>
  </si>
  <si>
    <t>IMX183CLK-J / CQJ-J </t>
  </si>
  <si>
    <t xml:space="preserve">Visionando en Monitor de 7" acoplado a la DSLR, o de TV conectando al PC mediante HDMI, la Carta de Ajuste "EIA 1956"  para DSLR's, ya que las informaciones sobre barlows, reductores, etc., sobre sensores CCD, no siempre son exactas precisando factor corrector, en las fórmulas de aplicación para obtener una imagen, que refleje ciertamente las cotas del Objeto a fotografiar. </t>
  </si>
  <si>
    <t>Para ver la imagen de la "LUNA con cráteres", pulsar enlace:</t>
  </si>
  <si>
    <t>Equivale a :</t>
  </si>
  <si>
    <t>DESEAMOS FOTOGRAFIAR</t>
  </si>
  <si>
    <t>NOTA:  La distancia en Km y/o UA al objeto, está referida a la Tierra</t>
  </si>
  <si>
    <t>Con anotados, conseguiremos distancia Km y ''arc H" y situaremos en TABLA_01</t>
  </si>
  <si>
    <t>Para los OBJETOS de la tabla "MESSIER", pulsar el enlace:</t>
  </si>
  <si>
    <r>
      <t xml:space="preserve">Y algo sobre las "ISO en DSLR": </t>
    </r>
    <r>
      <rPr>
        <sz val="11"/>
        <color indexed="16"/>
        <rFont val="Calibri"/>
        <family val="2"/>
      </rPr>
      <t xml:space="preserve">  A mayor ISO más ruido y por ende más apilado para poder eliminarlo,  y con menor ISO menos ruido pero mayores exposiciones.   Además una imagen con menor ISO, tiene un rango dinámico más "limpio" y tolera mejor el detectar objetos débiles.  </t>
    </r>
  </si>
  <si>
    <r>
      <t>Algo sobre el concepto "Señal / Ruido",</t>
    </r>
    <r>
      <rPr>
        <sz val="11"/>
        <color indexed="16"/>
        <rFont val="Calibri"/>
        <family val="2"/>
      </rPr>
      <t xml:space="preserve"> indica que cuanto más larga sea la exposición... por unidad de tiempo, más información se captará y como el ruido del fondo del cielo en ese momento tiende a fijo..., la distancia entre la señal del objeto recibida y del ruido..., aumentará la relación Señal / Ruido.  Por tanto  "Varias tomas mejor que una sola, en el mismo tiempo".</t>
    </r>
  </si>
  <si>
    <r>
      <t>Resumiendo, es mejor 10 tomas de 600 seg c/u, que una de 6000 seg...</t>
    </r>
    <r>
      <rPr>
        <sz val="11"/>
        <color indexed="16"/>
        <rFont val="Calibri"/>
        <family val="2"/>
      </rPr>
      <t xml:space="preserve"> porque tendería a saturarse y mejor que 100 de 60 seg c/u, ya que en este caso sería el apilado (Stack frames) de 100 imágenes con poca relación Señal / Ruido....,  Hablando siempre de captaciones del “cielo profundo”, porque con objetos como la Luna, es otra cuestión dada su luminosidad.  Por tanto cuanta menos “suciedad” mezclemos en cada imagen a captar, mejor resultado conseguiremos y con los software actuales..., mejores resultados obtendremos resaltando máximos detalles..., que es lo que interesa.</t>
    </r>
  </si>
  <si>
    <r>
      <t>DF</t>
    </r>
    <r>
      <rPr>
        <b/>
        <vertAlign val="subscript"/>
        <sz val="11"/>
        <color indexed="9"/>
        <rFont val="Calibri"/>
        <family val="2"/>
      </rPr>
      <t>eq</t>
    </r>
    <r>
      <rPr>
        <b/>
        <sz val="11"/>
        <color indexed="9"/>
        <rFont val="Calibri"/>
        <family val="2"/>
      </rPr>
      <t xml:space="preserve">   </t>
    </r>
    <r>
      <rPr>
        <sz val="11"/>
        <color indexed="9"/>
        <rFont val="Calibri"/>
        <family val="2"/>
      </rPr>
      <t>Effective focal length</t>
    </r>
  </si>
  <si>
    <r>
      <t xml:space="preserve">Pupila de salida   </t>
    </r>
    <r>
      <rPr>
        <sz val="11"/>
        <color indexed="9"/>
        <rFont val="Calibri"/>
        <family val="2"/>
      </rPr>
      <t xml:space="preserve">Teórica </t>
    </r>
  </si>
  <si>
    <r>
      <t xml:space="preserve">Campo visión - </t>
    </r>
    <r>
      <rPr>
        <sz val="8"/>
        <color indexed="9"/>
        <rFont val="Calibri"/>
        <family val="2"/>
      </rPr>
      <t>Campo Oc / Xeq</t>
    </r>
  </si>
  <si>
    <r>
      <t>MEJOR</t>
    </r>
    <r>
      <rPr>
        <b/>
        <sz val="11"/>
        <rFont val="Calibri"/>
        <family val="2"/>
      </rPr>
      <t xml:space="preserve">    </t>
    </r>
    <r>
      <rPr>
        <b/>
        <sz val="11"/>
        <color indexed="43"/>
        <rFont val="Calibri"/>
        <family val="2"/>
      </rPr>
      <t>BUENA</t>
    </r>
    <r>
      <rPr>
        <b/>
        <sz val="11"/>
        <rFont val="Calibri"/>
        <family val="2"/>
      </rPr>
      <t xml:space="preserve">    </t>
    </r>
    <r>
      <rPr>
        <b/>
        <sz val="11"/>
        <color indexed="47"/>
        <rFont val="Calibri"/>
        <family val="2"/>
      </rPr>
      <t xml:space="preserve">POBRE    </t>
    </r>
    <r>
      <rPr>
        <b/>
        <sz val="11"/>
        <color indexed="55"/>
        <rFont val="Calibri"/>
        <family val="2"/>
      </rPr>
      <t>MALA</t>
    </r>
  </si>
  <si>
    <r>
      <t>DF</t>
    </r>
    <r>
      <rPr>
        <sz val="11"/>
        <color indexed="9"/>
        <rFont val="Calibri"/>
        <family val="2"/>
      </rPr>
      <t xml:space="preserve">  </t>
    </r>
  </si>
  <si>
    <r>
      <t xml:space="preserve">Para verificarlo, utilizo el sensor de la CCD o DSLR acoplado al Telescopio </t>
    </r>
    <r>
      <rPr>
        <b/>
        <i/>
        <sz val="11"/>
        <color indexed="8"/>
        <rFont val="Calibri"/>
        <family val="2"/>
      </rPr>
      <t>(Celestrón 8'' Ø</t>
    </r>
    <r>
      <rPr>
        <b/>
        <sz val="11"/>
        <color indexed="8"/>
        <rFont val="Calibri"/>
        <family val="2"/>
      </rPr>
      <t>), con sus diversos adicionales posibles, situando a cierta distancia y uniformemente iluminada, la Carta de Ajuste "EIA 1956" de 0,25 m x 0,18 m a 14,322 m, permitiendo una verificación de campo con 3600 ''arc, que para una mayor precisión, la visiono en la pantalla milimetrada del monitor.</t>
    </r>
  </si>
  <si>
    <r>
      <t xml:space="preserve">OCUPARÁ en la CCD:   </t>
    </r>
    <r>
      <rPr>
        <sz val="11"/>
        <color indexed="16"/>
        <rFont val="Calibri"/>
        <family val="2"/>
      </rPr>
      <t>Como principio el Objeto a fotografiar, en la imagen final obtenida debería ocupar lo mismo en % que en el chip sensor de la CCD, es decir si la imagen es menor en arc.min.(' arc) que el tamaño del chip, ocupará la imagen obtenida, un % respecto a la superficie del chip.</t>
    </r>
  </si>
  <si>
    <r>
      <t xml:space="preserve">se VERÁ PARCIAL:  </t>
    </r>
    <r>
      <rPr>
        <sz val="11"/>
        <color indexed="16"/>
        <rFont val="Calibri"/>
        <family val="2"/>
      </rPr>
      <t>Si el tamaño aparente del Objeto es mayor que el sensor de la CCD, en arc.min., la imagen se verá recortada un % .</t>
    </r>
  </si>
  <si>
    <r>
      <t xml:space="preserve">Cambio de hora en España, </t>
    </r>
    <r>
      <rPr>
        <b/>
        <sz val="11"/>
        <rFont val="Calibri"/>
        <family val="2"/>
      </rPr>
      <t>en Marzo (-2), Octubre (-1)</t>
    </r>
  </si>
  <si>
    <t>tomamos su magnitud (mv), fecha y nombre, más su distancia y cotas en 'arc horizontal ( H ) y vertical ( V ), obteniendo sus medidas en "arc.</t>
  </si>
  <si>
    <t>´´´´´´´´´´´´´´´´´´´´´´´´´´´´´´´´´´´´´´´´´´´´´´´´´´´´´´´´´´´´´´´´´´´´´´´´´´´´´´´´´´´´´´´´´´´´´´´´´´´´´´´´´´´´´´´´´´´´´´´´´´´´´´´´´´´´´´´´´´´´´´´´´´´´´´´´´´´´´´´´´´´´´´´´´´´´´´´´´´´´´´´´´´´´´´´´´´´´´´´´´´´´´´´´´´´´´´´´´´´´´´´´´´´´´´´´´´´´´´´´´´´´</t>
  </si>
  <si>
    <r>
      <t>± Ø</t>
    </r>
    <r>
      <rPr>
        <b/>
        <vertAlign val="subscript"/>
        <sz val="11"/>
        <color indexed="8"/>
        <rFont val="Arial"/>
        <family val="2"/>
      </rPr>
      <t xml:space="preserve">eq </t>
    </r>
    <r>
      <rPr>
        <b/>
        <sz val="11"/>
        <color indexed="8"/>
        <rFont val="Arial"/>
        <family val="2"/>
      </rPr>
      <t xml:space="preserve"> o  ◄---►</t>
    </r>
  </si>
  <si>
    <r>
      <rPr>
        <b/>
        <sz val="11"/>
        <color indexed="8"/>
        <rFont val="Arial"/>
        <family val="2"/>
      </rPr>
      <t>± Ø</t>
    </r>
    <r>
      <rPr>
        <b/>
        <vertAlign val="subscript"/>
        <sz val="11"/>
        <color indexed="8"/>
        <rFont val="Arial"/>
        <family val="2"/>
      </rPr>
      <t xml:space="preserve">eq </t>
    </r>
    <r>
      <rPr>
        <b/>
        <sz val="11"/>
        <color indexed="8"/>
        <rFont val="Arial"/>
        <family val="2"/>
      </rPr>
      <t xml:space="preserve"> o  ◄---►</t>
    </r>
  </si>
  <si>
    <t>Distancia ±</t>
  </si>
  <si>
    <t>Ocupará en H ±</t>
  </si>
  <si>
    <t>Red. Focal  6,3</t>
  </si>
  <si>
    <t>pulsar para ampliar</t>
  </si>
  <si>
    <t>Valores identificativos para ese objeto a observar en fecha concreta, obtenidos desde el software "Stellarium 0.18.3"</t>
  </si>
  <si>
    <t xml:space="preserve">Magnitud visual </t>
  </si>
  <si>
    <t>Aportes para situar en la "TABLA_01", y obtener resultados de la  "F",  sobre "Resolución",   "segundos de arco en H y V",  "Amplificación",  "F.O.V.",  "Nº de tomas a grabar",  "Tiempo para grabación",  etc.</t>
  </si>
  <si>
    <t>Foco Primario</t>
  </si>
  <si>
    <t>Proyec. de Ocular</t>
  </si>
  <si>
    <t>CCD en FOCO PRIMARIO</t>
  </si>
  <si>
    <t>SATURNO</t>
  </si>
  <si>
    <t>JÚPITER</t>
  </si>
  <si>
    <t>OBJETOS MESSIER   solo H y V</t>
  </si>
  <si>
    <t>Con los aportes conseguidos y anotados, conseguiremos la distancia en ± Km y diametro Ø en ''arc H, que se situarán en la TABLA_01, anotando en élla simplemente CIELO PROFUNDO</t>
  </si>
  <si>
    <r>
      <t xml:space="preserve">" CIELO PROFUNDO "  del que solo conocemos: Nombre,  medidas H en ''arc, día y hora, distancia en UA o "Años Luz", más su magnitud visual (mv) -  </t>
    </r>
    <r>
      <rPr>
        <b/>
        <sz val="11"/>
        <rFont val="Arial"/>
        <family val="2"/>
      </rPr>
      <t>A</t>
    </r>
    <r>
      <rPr>
        <b/>
        <i/>
        <sz val="11"/>
        <rFont val="Arial"/>
        <family val="2"/>
      </rPr>
      <t xml:space="preserve">notaremos en las </t>
    </r>
    <r>
      <rPr>
        <b/>
        <i/>
        <sz val="11"/>
        <color indexed="12"/>
        <rFont val="Arial"/>
        <family val="2"/>
      </rPr>
      <t>casillas en azul</t>
    </r>
    <r>
      <rPr>
        <b/>
        <i/>
        <sz val="11"/>
        <rFont val="Arial"/>
        <family val="2"/>
      </rPr>
      <t>, lo que corresponda.</t>
    </r>
  </si>
  <si>
    <r>
      <t xml:space="preserve">"Atlas Virtuel Lune 6.0" para ese día un 15,5 % para su anchura visible, por tanto ( 3.476 Km x 15,5 % = 538,78 Km ) y con ello los 4,99 'arc que sobre la distancia 371.511 Km , por ejemplo.   </t>
    </r>
    <r>
      <rPr>
        <b/>
        <sz val="11"/>
        <color indexed="60"/>
        <rFont val="Calibri"/>
        <family val="2"/>
      </rPr>
      <t xml:space="preserve"> Anotando en TABLA_01,  299,1 ''arc H </t>
    </r>
  </si>
  <si>
    <t>CCD en PROYEC. de OCULAR</t>
  </si>
  <si>
    <t>NOTA:  Valores en "arc para H y V del objeto, obtenidos de la pestaña CONFIG.</t>
  </si>
  <si>
    <t>ANOTAR las ESPECIFICACIONES de la "CCD" y/o de la "DSLR"</t>
  </si>
  <si>
    <r>
      <t>Para ver imágenes del SOL</t>
    </r>
    <r>
      <rPr>
        <sz val="11"/>
        <color indexed="16"/>
        <rFont val="Calibri"/>
        <family val="2"/>
      </rPr>
      <t xml:space="preserve">  -  En los objetivos situamos siempre un  "Filtro / Solar"  con la</t>
    </r>
  </si>
  <si>
    <t>CONFIGURACIÓN del TELESCOPIO</t>
  </si>
  <si>
    <t>Seeing FWHM</t>
  </si>
  <si>
    <r>
      <t>La CONFIGURACIÓN del telescopio nos permite obtener una imagen detallada.</t>
    </r>
    <r>
      <rPr>
        <sz val="11"/>
        <color indexed="16"/>
        <rFont val="Calibri"/>
        <family val="2"/>
      </rPr>
      <t xml:space="preserve">   Para ello la relación entre </t>
    </r>
    <r>
      <rPr>
        <b/>
        <sz val="11"/>
        <color indexed="16"/>
        <rFont val="Calibri"/>
        <family val="2"/>
      </rPr>
      <t>FWHM</t>
    </r>
    <r>
      <rPr>
        <sz val="11"/>
        <color indexed="16"/>
        <rFont val="Calibri"/>
        <family val="2"/>
      </rPr>
      <t xml:space="preserve"> y </t>
    </r>
    <r>
      <rPr>
        <b/>
        <sz val="11"/>
        <color indexed="16"/>
        <rFont val="Calibri"/>
        <family val="2"/>
      </rPr>
      <t>RESOLUCIÓN</t>
    </r>
    <r>
      <rPr>
        <sz val="11"/>
        <color indexed="16"/>
        <rFont val="Calibri"/>
        <family val="2"/>
      </rPr>
      <t xml:space="preserve"> orienta coloreando el fondo celda como </t>
    </r>
    <r>
      <rPr>
        <b/>
        <sz val="11"/>
        <color indexed="42"/>
        <rFont val="Calibri"/>
        <family val="2"/>
      </rPr>
      <t>MEJOR</t>
    </r>
    <r>
      <rPr>
        <b/>
        <sz val="11"/>
        <color indexed="16"/>
        <rFont val="Calibri"/>
        <family val="2"/>
      </rPr>
      <t xml:space="preserve"> </t>
    </r>
    <r>
      <rPr>
        <sz val="11"/>
        <color indexed="16"/>
        <rFont val="Calibri"/>
        <family val="2"/>
      </rPr>
      <t>configuración</t>
    </r>
    <r>
      <rPr>
        <b/>
        <sz val="11"/>
        <color indexed="16"/>
        <rFont val="Calibri"/>
        <family val="2"/>
      </rPr>
      <t xml:space="preserve">, </t>
    </r>
    <r>
      <rPr>
        <sz val="11"/>
        <color indexed="16"/>
        <rFont val="Calibri"/>
        <family val="2"/>
      </rPr>
      <t xml:space="preserve">sigue en menor calidad con </t>
    </r>
    <r>
      <rPr>
        <b/>
        <sz val="11"/>
        <color indexed="43"/>
        <rFont val="Calibri"/>
        <family val="2"/>
      </rPr>
      <t>BUENA</t>
    </r>
    <r>
      <rPr>
        <sz val="11"/>
        <color indexed="16"/>
        <rFont val="Calibri"/>
        <family val="2"/>
      </rPr>
      <t xml:space="preserve"> y luego con </t>
    </r>
    <r>
      <rPr>
        <b/>
        <sz val="11"/>
        <color indexed="47"/>
        <rFont val="Calibri"/>
        <family val="2"/>
      </rPr>
      <t>POBRE</t>
    </r>
    <r>
      <rPr>
        <sz val="11"/>
        <color indexed="16"/>
        <rFont val="Calibri"/>
        <family val="2"/>
      </rPr>
      <t>, es decir</t>
    </r>
    <r>
      <rPr>
        <b/>
        <sz val="11"/>
        <color indexed="16"/>
        <rFont val="Calibri"/>
        <family val="2"/>
      </rPr>
      <t xml:space="preserve"> tendiendo a ± 3,5 veces como óptima y con una resolución &lt; ± 0,5 ''arc / px en Planetaria y  ± 2,5 ''arc / px en Cielo Profundo.</t>
    </r>
    <r>
      <rPr>
        <sz val="11"/>
        <color indexed="16"/>
        <rFont val="Calibri"/>
        <family val="2"/>
      </rPr>
      <t xml:space="preserve"> </t>
    </r>
  </si>
  <si>
    <r>
      <t>Poder Resolutivo</t>
    </r>
    <r>
      <rPr>
        <sz val="11"/>
        <color indexed="16"/>
        <rFont val="Calibri"/>
        <family val="2"/>
      </rPr>
      <t xml:space="preserve">:  El criterio Rayleigh (plate scale) nos indica depender del píxel, cuanto más pequeño más definición, pero también de la DF para obtener la imagen.  </t>
    </r>
    <r>
      <rPr>
        <b/>
        <sz val="11"/>
        <color indexed="16"/>
        <rFont val="Calibri"/>
        <family val="2"/>
      </rPr>
      <t xml:space="preserve">La regla para calcular la resolucion por pixel, es llegar a  ± 2,5 ''arc / px  para imagenes de cielo profundo y hasta  ± 0,5 ''arc / px  en planetarias.  Procurando que la relación  FWHM / Resolución  tienda a ± 3,5 veces </t>
    </r>
    <r>
      <rPr>
        <sz val="11"/>
        <color indexed="16"/>
        <rFont val="Calibri"/>
        <family val="2"/>
      </rPr>
      <t>(en modo Foco Primario)</t>
    </r>
  </si>
  <si>
    <r>
      <t>Poder separador</t>
    </r>
    <r>
      <rPr>
        <b/>
        <sz val="9"/>
        <color indexed="9"/>
        <rFont val="Calibri"/>
        <family val="2"/>
        <scheme val="minor"/>
      </rPr>
      <t xml:space="preserve"> (mínimo visible)</t>
    </r>
  </si>
  <si>
    <t>El objeto a grabar, se obtendrá y verá entero o un % de él, según modo de trabajo:</t>
  </si>
  <si>
    <t xml:space="preserve">   Con los aportes conseguidos y anotados, conseguiremos la distancia en ± Km y diametro Ø en ''arc H, que se situarán en la TABLA_01, anotando en élla simplemente SISTEMA SOLAR.    En el caso de aportar en Stellarium el diámetro Ø arc H en grados (º), proceder del modo:  ejemplo Ø  de Marte en ese momento de 0,00120º arc H = 3600 * 0,00120 = 4,32 " arc H</t>
  </si>
  <si>
    <t xml:space="preserve">OPERATIVA:  Sustituir aportes en azul, por "básicas del Telescopio", "especificaciones de la CCD" y "tipo del Objeto a observar". </t>
  </si>
  <si>
    <r>
      <t xml:space="preserve">NOMBRE y COTAS del objeto a fotografiar, en ''arc  para H y V    </t>
    </r>
    <r>
      <rPr>
        <sz val="11"/>
        <color indexed="16"/>
        <rFont val="Calibri"/>
        <family val="2"/>
      </rPr>
      <t xml:space="preserve">              </t>
    </r>
  </si>
  <si>
    <t>V. de Cuadro ± fps</t>
  </si>
  <si>
    <t>Tomas a (n seg c/u)</t>
  </si>
  <si>
    <r>
      <t xml:space="preserve">anteponer un Filtro / Solar  </t>
    </r>
    <r>
      <rPr>
        <b/>
        <sz val="11"/>
        <color indexed="9"/>
        <rFont val="Calibri"/>
        <family val="2"/>
      </rPr>
      <t>a situar en objetivo del Buscador y del Telescopio</t>
    </r>
  </si>
  <si>
    <t>/</t>
  </si>
  <si>
    <t>ASI120MM-S</t>
  </si>
  <si>
    <t>Operando</t>
  </si>
  <si>
    <t>µm / píxel</t>
  </si>
  <si>
    <t>ROI / píxeles</t>
  </si>
  <si>
    <r>
      <t xml:space="preserve"> ± 0,025 m ancho, (± 127.070 Km) x ± 0,010 m alto (± 50.828  Km), con una diagonal de ± 136.858 Km y sobre una CCD mod. ASI120MM con 1280 px x 960 px de 3,75 mm c/u, ocuparán  2,90 'arc x 1,16 'arc ocupando en esa CCD un ± 30,7% de la superficie de su sensor.  </t>
    </r>
    <r>
      <rPr>
        <b/>
        <sz val="11"/>
        <color indexed="16"/>
        <rFont val="Calibri"/>
        <family val="2"/>
      </rPr>
      <t xml:space="preserve">Anotaremos en TABLA_01  esas cotas de ancho y alto,  173,5 ''arc H  x  69,4 ''arc V  </t>
    </r>
  </si>
  <si>
    <r>
      <t xml:space="preserve">" LUNA "    </t>
    </r>
    <r>
      <rPr>
        <b/>
        <i/>
        <sz val="11"/>
        <color indexed="8"/>
        <rFont val="Arial"/>
        <family val="2"/>
      </rPr>
      <t xml:space="preserve">(anotar en las </t>
    </r>
    <r>
      <rPr>
        <b/>
        <i/>
        <sz val="11"/>
        <color indexed="12"/>
        <rFont val="Arial"/>
        <family val="2"/>
      </rPr>
      <t>casillas en azul</t>
    </r>
    <r>
      <rPr>
        <b/>
        <i/>
        <sz val="11"/>
        <color indexed="8"/>
        <rFont val="Arial"/>
        <family val="2"/>
      </rPr>
      <t>, solo el valor, lo que corresponda para el caso)</t>
    </r>
  </si>
  <si>
    <r>
      <t xml:space="preserve">" JÚPITER "   </t>
    </r>
    <r>
      <rPr>
        <b/>
        <i/>
        <sz val="11"/>
        <color indexed="8"/>
        <rFont val="Arial"/>
        <family val="2"/>
      </rPr>
      <t xml:space="preserve">(anotar en las </t>
    </r>
    <r>
      <rPr>
        <b/>
        <i/>
        <sz val="11"/>
        <color indexed="12"/>
        <rFont val="Arial"/>
        <family val="2"/>
      </rPr>
      <t>casillas en azul</t>
    </r>
    <r>
      <rPr>
        <b/>
        <i/>
        <sz val="11"/>
        <color indexed="8"/>
        <rFont val="Arial"/>
        <family val="2"/>
      </rPr>
      <t>, lo que corresponda para el caso)</t>
    </r>
  </si>
  <si>
    <r>
      <t xml:space="preserve">" SATURNO "   </t>
    </r>
    <r>
      <rPr>
        <b/>
        <i/>
        <sz val="11"/>
        <color indexed="8"/>
        <rFont val="Arial"/>
        <family val="2"/>
      </rPr>
      <t xml:space="preserve">(anotar en las </t>
    </r>
    <r>
      <rPr>
        <b/>
        <i/>
        <sz val="11"/>
        <color indexed="12"/>
        <rFont val="Arial"/>
        <family val="2"/>
      </rPr>
      <t>casillas en azul</t>
    </r>
    <r>
      <rPr>
        <b/>
        <i/>
        <sz val="11"/>
        <color indexed="8"/>
        <rFont val="Arial"/>
        <family val="2"/>
      </rPr>
      <t>, lo que corresponda para el caso)</t>
    </r>
  </si>
  <si>
    <t>*   CONSIDERADOS EN "TABLA_01" COMO DEL " CIELO PROFUNDO "</t>
  </si>
  <si>
    <t>*   CONSIDERADOS EN LA "TABLA_01" COMO DEL "SISTEMA SOLAR "</t>
  </si>
  <si>
    <t>Obtenido en pestaña "CONFIG" con (mv, Ø y distancia) para tipos: "SATURNO, JÚPITER, LUNA, MANCHAS EN SOL, SISTEMA SOLAR "  o  "CIELO PROFUNDO y MESSIER".</t>
  </si>
  <si>
    <t>D570</t>
  </si>
  <si>
    <t>OLYMPUS E330</t>
  </si>
  <si>
    <t xml:space="preserve">   (Kal = 1000 años luz)   , Por tanto de cualquier imagen tipo Messier simplemente, </t>
  </si>
  <si>
    <t>Anotar un  (0)  si la distancia se indica en "UA" y un  (1)  si en "Años Luz" (al)</t>
  </si>
  <si>
    <r>
      <t xml:space="preserve">" MESSIER "  del que solo conocemos sus medidas, dia, más su nombre y distancia en UA o Kal.   </t>
    </r>
    <r>
      <rPr>
        <b/>
        <i/>
        <sz val="11"/>
        <rFont val="Arial"/>
        <family val="2"/>
      </rPr>
      <t xml:space="preserve">(anotar en las </t>
    </r>
    <r>
      <rPr>
        <b/>
        <i/>
        <sz val="11"/>
        <color indexed="12"/>
        <rFont val="Arial"/>
        <family val="2"/>
      </rPr>
      <t>casillas en azul</t>
    </r>
    <r>
      <rPr>
        <b/>
        <i/>
        <sz val="11"/>
        <rFont val="Arial"/>
        <family val="2"/>
      </rPr>
      <t>, lo que corresponda para el caso)</t>
    </r>
  </si>
  <si>
    <t>TIPO de objeto selecciondo, en la hoja "CONFIG"</t>
  </si>
  <si>
    <t>EOS 450D</t>
  </si>
  <si>
    <r>
      <t xml:space="preserve">" MANCHAS EN SOL "  </t>
    </r>
    <r>
      <rPr>
        <b/>
        <i/>
        <sz val="11"/>
        <color indexed="8"/>
        <rFont val="Arial"/>
        <family val="2"/>
      </rPr>
      <t xml:space="preserve"> (anotar en </t>
    </r>
    <r>
      <rPr>
        <b/>
        <i/>
        <sz val="11"/>
        <color indexed="12"/>
        <rFont val="Arial"/>
        <family val="2"/>
      </rPr>
      <t>casillas en azul</t>
    </r>
    <r>
      <rPr>
        <b/>
        <i/>
        <sz val="11"/>
        <color indexed="8"/>
        <rFont val="Arial"/>
        <family val="2"/>
      </rPr>
      <t>, lo que corresponda para el caso), sobre la superficie ocupada.</t>
    </r>
  </si>
  <si>
    <r>
      <t xml:space="preserve">ref / visual </t>
    </r>
    <r>
      <rPr>
        <b/>
        <sz val="11"/>
        <color indexed="16"/>
        <rFont val="Calibri"/>
        <family val="2"/>
      </rPr>
      <t>DN 5</t>
    </r>
    <r>
      <rPr>
        <sz val="11"/>
        <color indexed="16"/>
        <rFont val="Calibri"/>
        <family val="2"/>
      </rPr>
      <t xml:space="preserve"> </t>
    </r>
    <r>
      <rPr>
        <b/>
        <sz val="11"/>
        <color indexed="16"/>
        <rFont val="Calibri"/>
        <family val="2"/>
      </rPr>
      <t>= 100.000</t>
    </r>
    <r>
      <rPr>
        <sz val="11"/>
        <color indexed="16"/>
        <rFont val="Calibri"/>
        <family val="2"/>
      </rPr>
      <t xml:space="preserve">  y para las CCD's </t>
    </r>
    <r>
      <rPr>
        <b/>
        <sz val="11"/>
        <color indexed="16"/>
        <rFont val="Calibri"/>
        <family val="2"/>
      </rPr>
      <t>DN 3,8 = 6.310</t>
    </r>
    <r>
      <rPr>
        <sz val="11"/>
        <color indexed="16"/>
        <rFont val="Calibri"/>
        <family val="2"/>
      </rPr>
      <t>,</t>
    </r>
    <r>
      <rPr>
        <b/>
        <sz val="11"/>
        <color indexed="16"/>
        <rFont val="Calibri"/>
        <family val="2"/>
      </rPr>
      <t xml:space="preserve"> </t>
    </r>
    <r>
      <rPr>
        <sz val="11"/>
        <color indexed="16"/>
        <rFont val="Calibri"/>
        <family val="2"/>
      </rPr>
      <t>reduciendo ± veces la Luminosidad según modelo, en 10</t>
    </r>
    <r>
      <rPr>
        <vertAlign val="superscript"/>
        <sz val="11"/>
        <color indexed="16"/>
        <rFont val="Calibri"/>
        <family val="2"/>
      </rPr>
      <t>5</t>
    </r>
    <r>
      <rPr>
        <sz val="11"/>
        <color indexed="16"/>
        <rFont val="Calibri"/>
        <family val="2"/>
      </rPr>
      <t xml:space="preserve"> ó 10</t>
    </r>
    <r>
      <rPr>
        <vertAlign val="superscript"/>
        <sz val="11"/>
        <color indexed="16"/>
        <rFont val="Calibri"/>
        <family val="2"/>
      </rPr>
      <t>3,8</t>
    </r>
    <r>
      <rPr>
        <sz val="11"/>
        <color indexed="16"/>
        <rFont val="Calibri"/>
        <family val="2"/>
      </rPr>
      <t xml:space="preserve"> veces.  </t>
    </r>
    <r>
      <rPr>
        <i/>
        <sz val="11"/>
        <color indexed="16"/>
        <rFont val="Calibri"/>
        <family val="2"/>
      </rPr>
      <t>(anotar tipo)</t>
    </r>
  </si>
  <si>
    <r>
      <rPr>
        <sz val="12"/>
        <color indexed="16"/>
        <rFont val="Arial"/>
        <family val="2"/>
      </rPr>
      <t>Escalas</t>
    </r>
    <r>
      <rPr>
        <b/>
        <sz val="12"/>
        <color indexed="16"/>
        <rFont val="Arial"/>
        <family val="2"/>
      </rPr>
      <t xml:space="preserve"> </t>
    </r>
    <r>
      <rPr>
        <b/>
        <sz val="12"/>
        <color indexed="16"/>
        <rFont val="Arial Black"/>
        <family val="2"/>
      </rPr>
      <t>BORTLE</t>
    </r>
    <r>
      <rPr>
        <b/>
        <sz val="12"/>
        <color indexed="16"/>
        <rFont val="Arial"/>
        <family val="2"/>
      </rPr>
      <t xml:space="preserve"> </t>
    </r>
    <r>
      <rPr>
        <sz val="12"/>
        <color indexed="16"/>
        <rFont val="Arial"/>
        <family val="2"/>
      </rPr>
      <t>(de 1 a 9)</t>
    </r>
    <r>
      <rPr>
        <b/>
        <sz val="12"/>
        <color indexed="16"/>
        <rFont val="Arial"/>
        <family val="2"/>
      </rPr>
      <t xml:space="preserve"> </t>
    </r>
    <r>
      <rPr>
        <sz val="12"/>
        <color indexed="16"/>
        <rFont val="Arial"/>
        <family val="2"/>
      </rPr>
      <t>y</t>
    </r>
    <r>
      <rPr>
        <b/>
        <sz val="12"/>
        <color indexed="16"/>
        <rFont val="Arial Black"/>
        <family val="2"/>
      </rPr>
      <t xml:space="preserve"> SEEING </t>
    </r>
    <r>
      <rPr>
        <b/>
        <sz val="12"/>
        <color indexed="16"/>
        <rFont val="Arial"/>
        <family val="2"/>
      </rPr>
      <t xml:space="preserve">?/10 </t>
    </r>
    <r>
      <rPr>
        <sz val="12"/>
        <color indexed="16"/>
        <rFont val="Arial"/>
        <family val="2"/>
      </rPr>
      <t>(p.e. anotar 6,5 y aparece  6,5 /10)</t>
    </r>
  </si>
  <si>
    <t>Sobre SEEING</t>
  </si>
  <si>
    <t>escala</t>
  </si>
  <si>
    <t>Sobre BORTLE</t>
  </si>
  <si>
    <t xml:space="preserve"> imágenes orientativas</t>
  </si>
  <si>
    <t>Cuarto creciente</t>
  </si>
  <si>
    <t xml:space="preserve">                                                               </t>
  </si>
  <si>
    <t>GRABACIÓN del VÍDEO con "DSLR" en larga exposición</t>
  </si>
  <si>
    <t>Shutter en posición BULB</t>
  </si>
  <si>
    <t>HH</t>
  </si>
  <si>
    <t>ASI294MM</t>
  </si>
  <si>
    <t xml:space="preserve">  http://www.astropractica.org/tem3/messier/messier.htm</t>
  </si>
  <si>
    <t>Ocupará en H ± sin anillos</t>
  </si>
  <si>
    <t>Para obtener los grados CMI y CMIII</t>
  </si>
  <si>
    <t>EOS 550 D</t>
  </si>
  <si>
    <t>ASI178MC</t>
  </si>
  <si>
    <t>IMX178</t>
  </si>
  <si>
    <t>IR Pass 685 nm (95%)</t>
  </si>
  <si>
    <r>
      <t xml:space="preserve">en modo visión  </t>
    </r>
    <r>
      <rPr>
        <b/>
        <sz val="11"/>
        <color indexed="13"/>
        <rFont val="Calibri"/>
        <family val="2"/>
      </rPr>
      <t xml:space="preserve">DN 5, </t>
    </r>
    <r>
      <rPr>
        <b/>
        <sz val="11"/>
        <color indexed="9"/>
        <rFont val="Calibri"/>
        <family val="2"/>
      </rPr>
      <t xml:space="preserve"> y</t>
    </r>
    <r>
      <rPr>
        <sz val="11"/>
        <color indexed="9"/>
        <rFont val="Calibri"/>
        <family val="2"/>
      </rPr>
      <t xml:space="preserve"> </t>
    </r>
    <r>
      <rPr>
        <b/>
        <sz val="11"/>
        <color indexed="9"/>
        <rFont val="Calibri"/>
        <family val="2"/>
      </rPr>
      <t>para grabaciones con una CCD el tipo</t>
    </r>
  </si>
  <si>
    <r>
      <t xml:space="preserve">Al efectuar </t>
    </r>
    <r>
      <rPr>
        <b/>
        <sz val="11"/>
        <color indexed="13"/>
        <rFont val="Calibri"/>
        <family val="2"/>
      </rPr>
      <t xml:space="preserve">Observación Solar, </t>
    </r>
    <r>
      <rPr>
        <b/>
        <sz val="11"/>
        <color indexed="9"/>
        <rFont val="Calibri"/>
        <family val="2"/>
      </rPr>
      <t>p.e. Las Manchas,  con  Magnitud Visual de</t>
    </r>
  </si>
  <si>
    <t>30 (2,0) a 60 (3,0)</t>
  </si>
  <si>
    <t>messier</t>
  </si>
  <si>
    <t xml:space="preserve">GRABACIÓN del VÍDEO con "CCD" </t>
  </si>
  <si>
    <t xml:space="preserve">CARACTERÍSTICAS de la ''CCD'' </t>
  </si>
  <si>
    <t>https://www.astropractica.org</t>
  </si>
  <si>
    <t>VENUS</t>
  </si>
  <si>
    <r>
      <t xml:space="preserve">" SISTEMA SOLAR " </t>
    </r>
    <r>
      <rPr>
        <b/>
        <i/>
        <sz val="11"/>
        <rFont val="Arial"/>
        <family val="2"/>
      </rPr>
      <t xml:space="preserve"> para cualquier otro objeto, que no esté en los cuatro concretos y anteriores.</t>
    </r>
  </si>
  <si>
    <t>M31</t>
  </si>
  <si>
    <t>Nº de tomas orientativas en L-RGB</t>
  </si>
  <si>
    <t xml:space="preserve">Ajustar tiempo por toma, desde 60 s hasta 600 s c/u </t>
  </si>
  <si>
    <t xml:space="preserve">      EJEMPLO: el Sol con su Ø de 1.391.400 Km y estar en ese momento, a 1,0085UA, ocupa 31,73 'arc, con una Mag. Visual (mv) de -26,7 El SOL observado ese día, en la "Imagen del Sol en tiempo real, modus "MDI" y en la pantalla de mi PC ocupa 0,274 m de Ø,  y el "Grupo de Manchas" un rectángulo de</t>
  </si>
  <si>
    <r>
      <t>Conocido lo que ocupa en la CCD y lo que teóricamente debe para 1º00'00'' de anchura, servirá para conocer si la Reductora de Focal, que en principio sea de un 63%</t>
    </r>
    <r>
      <rPr>
        <b/>
        <i/>
        <sz val="11"/>
        <color indexed="8"/>
        <rFont val="Calibri"/>
        <family val="2"/>
      </rPr>
      <t xml:space="preserve"> (las clásicas para SCT de 6,3)</t>
    </r>
    <r>
      <rPr>
        <b/>
        <sz val="11"/>
        <color indexed="8"/>
        <rFont val="Calibri"/>
        <family val="2"/>
      </rPr>
      <t xml:space="preserve"> , etc.  Con esa proporción o no.   </t>
    </r>
  </si>
  <si>
    <t>Lo mismo puede aplicarse a las Barlow, del tipo x2 ó x3, etc.  En la práctica  ejem_colim )</t>
  </si>
  <si>
    <t>ejemplo</t>
  </si>
  <si>
    <r>
      <rPr>
        <b/>
        <sz val="11"/>
        <color rgb="FF0E00C0"/>
        <rFont val="Arial"/>
        <family val="2"/>
      </rPr>
      <t>ANOTAR en "TABLA_01":</t>
    </r>
    <r>
      <rPr>
        <b/>
        <sz val="11"/>
        <color indexed="16"/>
        <rFont val="Arial"/>
        <family val="2"/>
      </rPr>
      <t xml:space="preserve">  SATURNO,  JÚPITER,  LUNA,  MANCHAS en SOL,  MESSIER,                                                                  SISTEMA SOLAR, o CIELO PROFUNDO</t>
    </r>
  </si>
  <si>
    <t>ASI462MC</t>
  </si>
  <si>
    <t>B/N</t>
  </si>
  <si>
    <t>Duración  ±  de  la  grabación</t>
  </si>
  <si>
    <t>ASI290MM</t>
  </si>
  <si>
    <t>AR3315</t>
  </si>
  <si>
    <t>UR 08/09/2023</t>
  </si>
  <si>
    <t>mailto:jmp.astropractica@gmail.com</t>
  </si>
  <si>
    <t>NOTA:  Ante cualquier duda consultar, por vía:</t>
  </si>
  <si>
    <t>COMETA NISHIMURA</t>
  </si>
  <si>
    <t>CELESTRON C8</t>
  </si>
  <si>
    <t>SCT</t>
  </si>
  <si>
    <t>ZWO  ASI 120 MM</t>
  </si>
  <si>
    <t>Objeto SE VERÁ el objeto con Ocular df</t>
  </si>
  <si>
    <t>y en Chip de CCD</t>
  </si>
  <si>
    <t>El Objeto ocupará en la CCD un % y esos mm Ø</t>
  </si>
  <si>
    <r>
      <t>-27</t>
    </r>
    <r>
      <rPr>
        <b/>
        <sz val="11"/>
        <color indexed="16"/>
        <rFont val="Calibri"/>
        <family val="2"/>
      </rPr>
      <t xml:space="preserve">  a  </t>
    </r>
  </si>
  <si>
    <t>Naturalmente si el % es superior al 100 %, el objeto se verá en parte (100 / %)</t>
  </si>
  <si>
    <t>MANCHAS EN 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</si>
</sst>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6">
    <numFmt numFmtId="164" formatCode="_-* #,##0.00\ _p_t_a_-;\-* #,##0.00\ _p_t_a_-;_-* &quot;-&quot;??\ _p_t_a_-;_-@_-"/>
    <numFmt numFmtId="165" formatCode="00.0\ &quot;mm&quot;"/>
    <numFmt numFmtId="166" formatCode="0.0\ &quot;Xeq&quot;"/>
    <numFmt numFmtId="167" formatCode="0&quot;º&quot;"/>
    <numFmt numFmtId="168" formatCode="00.00"/>
    <numFmt numFmtId="169" formatCode="0000"/>
    <numFmt numFmtId="170" formatCode="0.0\ &quot;mm&quot;"/>
    <numFmt numFmtId="171" formatCode="0.0&quot;º&quot;"/>
    <numFmt numFmtId="172" formatCode="#,##0.0"/>
    <numFmt numFmtId="173" formatCode="#,###.0\ &quot;mm&quot;"/>
    <numFmt numFmtId="174" formatCode="#.0&quot;''&quot;"/>
    <numFmt numFmtId="175" formatCode="#.00\ &quot;µm&quot;"/>
    <numFmt numFmtId="176" formatCode="#,##0.0_ ;[Red]\-#,##0.0\ "/>
    <numFmt numFmtId="177" formatCode="0.00\ &quot;mm&quot;"/>
    <numFmt numFmtId="178" formatCode="0.0"/>
    <numFmt numFmtId="179" formatCode="00"/>
    <numFmt numFmtId="180" formatCode="0.0\ &quot;Mp&quot;"/>
    <numFmt numFmtId="181" formatCode="#0.0\ &quot;min&quot;"/>
    <numFmt numFmtId="182" formatCode="#,##0.0\ &quot;mm&quot;"/>
    <numFmt numFmtId="183" formatCode="#,##0.000000"/>
    <numFmt numFmtId="184" formatCode="0.0&quot;'&quot;"/>
    <numFmt numFmtId="185" formatCode="#,###.##\ &quot;arc.seg.&quot;"/>
    <numFmt numFmtId="186" formatCode="#,##0_ ;[Red]\-#,##0\ "/>
    <numFmt numFmtId="187" formatCode="0.0000"/>
    <numFmt numFmtId="188" formatCode="&quot;Color&quot;\ 0.000\ &quot;µm&quot;"/>
    <numFmt numFmtId="189" formatCode="0.0\ &quot;s.arc&quot;"/>
    <numFmt numFmtId="190" formatCode="0.000000"/>
    <numFmt numFmtId="191" formatCode="00.000000"/>
    <numFmt numFmtId="192" formatCode="&quot;UR&quot;\ \ dd/mm/yyyy"/>
    <numFmt numFmtId="193" formatCode="0.00\ &quot;''arc&quot;"/>
    <numFmt numFmtId="194" formatCode="0.00\ &quot;veces&quot;"/>
    <numFmt numFmtId="195" formatCode="0\ &quot;veces de 60s c/u&quot;"/>
    <numFmt numFmtId="196" formatCode="0\ &quot;ms&quot;"/>
    <numFmt numFmtId="197" formatCode="&quot;Repetir proceso&quot;\ \ 0\ \ &quot;veces&quot;"/>
    <numFmt numFmtId="198" formatCode="0\ &quot;m c/u&quot;"/>
    <numFmt numFmtId="199" formatCode="&quot;de&quot;\ 0\ &quot;seg c/u&quot;"/>
    <numFmt numFmtId="200" formatCode="0\ &quot;tomas&quot;"/>
    <numFmt numFmtId="201" formatCode="&quot;ISO&quot;\ #,000"/>
    <numFmt numFmtId="202" formatCode="00_ ;[Red]\-00\ "/>
    <numFmt numFmtId="203" formatCode="00.000000_ ;[Red]\-00.000000\ "/>
    <numFmt numFmtId="204" formatCode="&quot;UR&quot;\ dd/mm/yyyy"/>
    <numFmt numFmtId="205" formatCode="dd/mm"/>
    <numFmt numFmtId="206" formatCode="\ \ 0\ &quot;h&quot;"/>
    <numFmt numFmtId="207" formatCode="0.0\ &quot;º&quot;"/>
    <numFmt numFmtId="208" formatCode="0\ &quot;L&quot;"/>
    <numFmt numFmtId="209" formatCode="0\ &quot;R&quot;"/>
    <numFmt numFmtId="210" formatCode="0\ &quot;G&quot;"/>
    <numFmt numFmtId="211" formatCode="0\ &quot;B&quot;"/>
    <numFmt numFmtId="212" formatCode="0.00\ &quot;arc.seg. Ø&quot;"/>
    <numFmt numFmtId="213" formatCode="\ 0.000\ &quot;m&quot;"/>
    <numFmt numFmtId="214" formatCode="0.00\ &quot;'arc&quot;"/>
    <numFmt numFmtId="215" formatCode="0\ &quot;s&quot;"/>
    <numFmt numFmtId="216" formatCode="0\ &quot;h&quot;"/>
    <numFmt numFmtId="217" formatCode="#0.00&quot;'' Ø&quot;"/>
    <numFmt numFmtId="218" formatCode="&quot;DN&quot;\ 0.0"/>
    <numFmt numFmtId="219" formatCode="0.000"/>
    <numFmt numFmtId="220" formatCode="0\ &quot;x&quot;"/>
    <numFmt numFmtId="221" formatCode="&quot;a&quot;\ 0\ &quot;fps&quot;"/>
    <numFmt numFmtId="222" formatCode="0\ &quot;t&quot;"/>
    <numFmt numFmtId="223" formatCode="#\ &quot;h para UTC&quot;\ "/>
    <numFmt numFmtId="224" formatCode="0.00\ &quot;''arc / px&quot;"/>
    <numFmt numFmtId="225" formatCode="###,###,###\ &quot;Km&quot;"/>
    <numFmt numFmtId="226" formatCode="0.00&quot;'&quot;"/>
    <numFmt numFmtId="227" formatCode="0.00\ &quot;/ 10&quot;;[Red]\-0.00\ &quot;/ 10&quot;"/>
    <numFmt numFmtId="228" formatCode="00.0\ &quot;''arc/mm&quot;"/>
    <numFmt numFmtId="229" formatCode="&quot;Mag.  ±&quot;\ \ 00.00"/>
    <numFmt numFmtId="230" formatCode="0.00\ &quot;'arc H&quot;"/>
    <numFmt numFmtId="231" formatCode="dd\ /\ mm\ /\ yyyy"/>
    <numFmt numFmtId="232" formatCode="hh:mm\ &quot;UTC&quot;"/>
    <numFmt numFmtId="233" formatCode="&quot;±&quot;\ 0\ &quot;veces&quot;"/>
    <numFmt numFmtId="234" formatCode="&quot;AR&quot;###0"/>
    <numFmt numFmtId="235" formatCode="&quot;AR&quot;####"/>
    <numFmt numFmtId="236" formatCode="0.0000000"/>
    <numFmt numFmtId="237" formatCode="#,##0.0\ &quot;m&quot;"/>
    <numFmt numFmtId="238" formatCode="#,##0.0\ &quot;X.eq&quot;"/>
    <numFmt numFmtId="239" formatCode="#,##0\ &quot;px H&quot;"/>
    <numFmt numFmtId="240" formatCode="#,##0\ &quot;px V&quot;"/>
    <numFmt numFmtId="241" formatCode="#,##0.00\ &quot;m&quot;"/>
    <numFmt numFmtId="242" formatCode="#,##0.0\ &quot;''arc&quot;"/>
    <numFmt numFmtId="243" formatCode="#,000.0\ &quot;''arc H&quot;"/>
    <numFmt numFmtId="244" formatCode="#,000.0\ &quot;''arc V&quot;"/>
    <numFmt numFmtId="245" formatCode="##.##&quot;% Ilum&quot;"/>
    <numFmt numFmtId="246" formatCode="&quot;Iluminación&quot;\ \ ##.0\ &quot;%&quot;"/>
    <numFmt numFmtId="247" formatCode="0.00\ &quot;''arc H&quot;"/>
    <numFmt numFmtId="248" formatCode="0,000.0\ &quot;Km&quot;"/>
    <numFmt numFmtId="249" formatCode="###,###,###.0\ &quot;Km&quot;"/>
    <numFmt numFmtId="250" formatCode="#,##0.00\ &quot;mv&quot;\ ;[Red]\-#,##0.00\ &quot;mv&quot;\ "/>
    <numFmt numFmtId="251" formatCode="&quot;Ilum.&quot;\ #0.0\ &quot;%&quot;"/>
    <numFmt numFmtId="252" formatCode="&quot;Fase&quot;\ #0.0&quot;º&quot;"/>
    <numFmt numFmtId="253" formatCode="#,##0\ &quot;€&quot;;[Red]\-#,##0\ &quot;€&quot;\ &quot;mv&quot;"/>
    <numFmt numFmtId="254" formatCode="0.00\ &quot;''arc V&quot;"/>
    <numFmt numFmtId="255" formatCode="&quot;=&quot;\ \ ###,###,###,###\ &quot;Km&quot;"/>
    <numFmt numFmtId="256" formatCode="#,##0.0000000"/>
    <numFmt numFmtId="257" formatCode="&quot;factor&quot;\ 0.000000"/>
    <numFmt numFmtId="258" formatCode="0.0000\ &quot;UA&quot;"/>
    <numFmt numFmtId="259" formatCode="&quot;Lunación&quot;\ ##.00\ &quot;d&quot;"/>
    <numFmt numFmtId="260" formatCode="#,##0.0000\ &quot;UA&quot;"/>
    <numFmt numFmtId="261" formatCode="#,##0.00000000\ &quot;UA&quot;"/>
    <numFmt numFmtId="262" formatCode="#,##0.00\ &quot;''arc H&quot;"/>
    <numFmt numFmtId="263" formatCode="#,##0.0000\ &quot;Kal&quot;"/>
    <numFmt numFmtId="264" formatCode="#,##0.00_ ;[Red]\-#,##0.00\ "/>
    <numFmt numFmtId="265" formatCode="dd\-mm\-yy;@"/>
    <numFmt numFmtId="266" formatCode="&quot;Lunación&quot;\ ##.0\ &quot;d&quot;"/>
    <numFmt numFmtId="267" formatCode="#,##0.00\ &quot;''arc&quot;"/>
    <numFmt numFmtId="268" formatCode="&quot;±&quot;\ 0.00\ &quot;%&quot;"/>
    <numFmt numFmtId="269" formatCode="#,##0.00\ &quot;mm&quot;"/>
    <numFmt numFmtId="270" formatCode="00\ &quot;s&quot;"/>
    <numFmt numFmtId="271" formatCode="00\ &quot;m&quot;"/>
    <numFmt numFmtId="272" formatCode="#,##0\ &quot;f  en&quot;"/>
    <numFmt numFmtId="273" formatCode="&quot;±&quot;\ #,##0\ &quot;px H&quot;"/>
    <numFmt numFmtId="274" formatCode="&quot;Fase&quot;\ \ ##0.0&quot;º&quot;"/>
    <numFmt numFmtId="275" formatCode="0.0000\ &quot;'arc H&quot;"/>
    <numFmt numFmtId="276" formatCode="0.0000\ &quot;'arc V&quot;"/>
    <numFmt numFmtId="277" formatCode="\ #,###,##0\ &quot;Km V&quot;"/>
    <numFmt numFmtId="278" formatCode="0.0\ &quot;''arc V&quot;"/>
    <numFmt numFmtId="279" formatCode="&quot;Mag. ± &quot;\ 00.00"/>
    <numFmt numFmtId="280" formatCode="\ &quot;a&quot;\ #\ &quot;s c/u&quot;"/>
    <numFmt numFmtId="281" formatCode="00.0\ &quot;''arc Ø&quot;"/>
    <numFmt numFmtId="282" formatCode="\ 0.000\ &quot;m H&quot;"/>
    <numFmt numFmtId="283" formatCode="0.000\ &quot;'arc H&quot;"/>
    <numFmt numFmtId="284" formatCode="0.000\ &quot;m V&quot;"/>
    <numFmt numFmtId="285" formatCode="#,##0.00&quot;'&quot;"/>
    <numFmt numFmtId="286" formatCode="&quot;±&quot;\ #,##0\ &quot;px V&quot;"/>
    <numFmt numFmtId="287" formatCode="&quot;=&quot;\ #,###,###\ &quot;Km&quot;"/>
    <numFmt numFmtId="288" formatCode="&quot;±&quot;\ #,##0.0\ &quot;Km&quot;"/>
    <numFmt numFmtId="289" formatCode="#,##0.0\ &quot;Años Luz&quot;"/>
    <numFmt numFmtId="290" formatCode="0.0\ &quot;/10&quot;;[Red]\-0.0\ &quot;/10&quot;"/>
    <numFmt numFmtId="291" formatCode="#,##0.0\ &quot;mv&quot;\ ;[Red]\-#,##0.0\ &quot;mv&quot;\ "/>
    <numFmt numFmtId="292" formatCode="#\ &quot;fps&quot;"/>
    <numFmt numFmtId="293" formatCode="&quot;de&quot;\ 0\ &quot;s&quot;"/>
    <numFmt numFmtId="294" formatCode="00.00\ &quot;''arc Ø&quot;"/>
    <numFmt numFmtId="295" formatCode="0.0\ &quot;''arc H&quot;"/>
    <numFmt numFmtId="296" formatCode="&quot;±&quot;\ 0.0\ &quot;mm Ø&quot;"/>
    <numFmt numFmtId="297" formatCode="&quot;con ±&quot;\ 0\ &quot;mm Ø&quot;"/>
    <numFmt numFmtId="298" formatCode="00.00\ &quot;'arc Ø&quot;"/>
    <numFmt numFmtId="299" formatCode="0\ &quot;s  c/toma&quot;"/>
    <numFmt numFmtId="300" formatCode="0.000\ &quot;m H  (Ø SOL)&quot;"/>
    <numFmt numFmtId="301" formatCode="\ #,###,##0\ &quot;Km H&quot;"/>
    <numFmt numFmtId="302" formatCode="&quot;por&quot;\ ###,###,##0.000\ \ &quot;Km / UA  =&quot;"/>
    <numFmt numFmtId="303" formatCode="#,###,##0.000\ &quot;Km&quot;"/>
    <numFmt numFmtId="304" formatCode="\ &quot;está a ± &quot;#,##0.000\ &quot;Km&quot;"/>
    <numFmt numFmtId="305" formatCode="\ 0\ &quot;h&quot;"/>
    <numFmt numFmtId="306" formatCode="#,##0.000\ &quot;f&quot;"/>
    <numFmt numFmtId="307" formatCode="0.00\ &quot;'arc V&quot;"/>
    <numFmt numFmtId="308" formatCode="0.0\ &quot;%&quot;"/>
    <numFmt numFmtId="309" formatCode="&quot;con ±&quot;\ 0.0\ &quot;mm Ø&quot;"/>
  </numFmts>
  <fonts count="210" x14ac:knownFonts="1">
    <font>
      <sz val="12"/>
      <name val="Arial"/>
    </font>
    <font>
      <sz val="11"/>
      <color theme="1"/>
      <name val="Calibri"/>
      <family val="2"/>
      <scheme val="minor"/>
    </font>
    <font>
      <sz val="11"/>
      <color theme="1"/>
      <name val="Calibri"/>
      <family val="2"/>
      <scheme val="minor"/>
    </font>
    <font>
      <sz val="12"/>
      <name val="Arial"/>
      <family val="2"/>
    </font>
    <font>
      <u/>
      <sz val="12"/>
      <color indexed="12"/>
      <name val="Arial"/>
      <family val="2"/>
    </font>
    <font>
      <sz val="11"/>
      <name val="Arial Narrow"/>
      <family val="2"/>
    </font>
    <font>
      <b/>
      <sz val="11"/>
      <color indexed="62"/>
      <name val="Arial Narrow"/>
      <family val="2"/>
    </font>
    <font>
      <sz val="12"/>
      <name val="Arial Narrow"/>
      <family val="2"/>
    </font>
    <font>
      <b/>
      <sz val="11"/>
      <name val="Arial Narrow"/>
      <family val="2"/>
    </font>
    <font>
      <b/>
      <sz val="12"/>
      <color indexed="12"/>
      <name val="Arial"/>
      <family val="2"/>
    </font>
    <font>
      <sz val="12"/>
      <name val="Arial"/>
      <family val="2"/>
    </font>
    <font>
      <sz val="14"/>
      <name val="Arial"/>
      <family val="2"/>
    </font>
    <font>
      <b/>
      <sz val="14"/>
      <color indexed="9"/>
      <name val="Arial"/>
      <family val="2"/>
    </font>
    <font>
      <sz val="10"/>
      <name val="Arial Narrow"/>
      <family val="2"/>
    </font>
    <font>
      <sz val="10"/>
      <name val="Arial"/>
      <family val="2"/>
    </font>
    <font>
      <sz val="10"/>
      <name val="Arial"/>
      <family val="2"/>
    </font>
    <font>
      <b/>
      <sz val="16"/>
      <color indexed="9"/>
      <name val="Verdana"/>
      <family val="2"/>
    </font>
    <font>
      <b/>
      <sz val="14"/>
      <color indexed="9"/>
      <name val="Verdana"/>
      <family val="2"/>
    </font>
    <font>
      <sz val="12"/>
      <color indexed="9"/>
      <name val="Verdana"/>
      <family val="2"/>
    </font>
    <font>
      <b/>
      <sz val="10"/>
      <name val="Arial"/>
      <family val="2"/>
    </font>
    <font>
      <b/>
      <sz val="11"/>
      <color indexed="12"/>
      <name val="Arial"/>
      <family val="2"/>
    </font>
    <font>
      <b/>
      <sz val="11"/>
      <name val="Arial"/>
      <family val="2"/>
    </font>
    <font>
      <sz val="11"/>
      <name val="Arial"/>
      <family val="2"/>
    </font>
    <font>
      <b/>
      <sz val="11"/>
      <color indexed="9"/>
      <name val="Arial"/>
      <family val="2"/>
    </font>
    <font>
      <b/>
      <sz val="11"/>
      <color indexed="10"/>
      <name val="Arial"/>
      <family val="2"/>
    </font>
    <font>
      <sz val="8"/>
      <color indexed="12"/>
      <name val="Arial"/>
      <family val="2"/>
    </font>
    <font>
      <b/>
      <sz val="10"/>
      <color indexed="16"/>
      <name val="Arial"/>
      <family val="2"/>
    </font>
    <font>
      <sz val="11"/>
      <color indexed="9"/>
      <name val="Arial"/>
      <family val="2"/>
    </font>
    <font>
      <b/>
      <sz val="11"/>
      <color indexed="8"/>
      <name val="Arial"/>
      <family val="2"/>
    </font>
    <font>
      <b/>
      <sz val="8"/>
      <color indexed="9"/>
      <name val="Arial"/>
      <family val="2"/>
    </font>
    <font>
      <b/>
      <sz val="11"/>
      <color indexed="10"/>
      <name val="Agency FB"/>
    </font>
    <font>
      <sz val="12"/>
      <color indexed="9"/>
      <name val="Arial"/>
      <family val="2"/>
    </font>
    <font>
      <b/>
      <sz val="11"/>
      <color indexed="22"/>
      <name val="Arial"/>
      <family val="2"/>
    </font>
    <font>
      <sz val="11"/>
      <color indexed="23"/>
      <name val="Arial"/>
      <family val="2"/>
    </font>
    <font>
      <b/>
      <i/>
      <sz val="14"/>
      <color indexed="9"/>
      <name val="Arial"/>
      <family val="2"/>
    </font>
    <font>
      <i/>
      <sz val="14"/>
      <color indexed="9"/>
      <name val="Arial"/>
      <family val="2"/>
    </font>
    <font>
      <sz val="8"/>
      <name val="Arial"/>
      <family val="2"/>
    </font>
    <font>
      <b/>
      <sz val="11"/>
      <color indexed="16"/>
      <name val="Arial"/>
      <family val="2"/>
    </font>
    <font>
      <sz val="8"/>
      <color indexed="23"/>
      <name val="Arial Narrow"/>
      <family val="2"/>
    </font>
    <font>
      <sz val="11"/>
      <color indexed="8"/>
      <name val="Arial"/>
      <family val="2"/>
    </font>
    <font>
      <sz val="8"/>
      <color indexed="55"/>
      <name val="Arial"/>
      <family val="2"/>
    </font>
    <font>
      <b/>
      <sz val="11"/>
      <name val="Agency FB"/>
    </font>
    <font>
      <sz val="10"/>
      <color indexed="16"/>
      <name val="Arial"/>
      <family val="2"/>
    </font>
    <font>
      <sz val="11"/>
      <color indexed="16"/>
      <name val="Arial"/>
      <family val="2"/>
    </font>
    <font>
      <sz val="8"/>
      <color indexed="16"/>
      <name val="Arial"/>
      <family val="2"/>
    </font>
    <font>
      <b/>
      <sz val="11"/>
      <color indexed="9"/>
      <name val="Arial Narrow"/>
      <family val="2"/>
    </font>
    <font>
      <sz val="11"/>
      <name val="Arial"/>
      <family val="2"/>
    </font>
    <font>
      <b/>
      <sz val="14"/>
      <color indexed="8"/>
      <name val="Arial"/>
      <family val="2"/>
    </font>
    <font>
      <sz val="12"/>
      <color indexed="22"/>
      <name val="Arial"/>
      <family val="2"/>
    </font>
    <font>
      <sz val="10"/>
      <color indexed="60"/>
      <name val="Arial"/>
      <family val="2"/>
    </font>
    <font>
      <sz val="12"/>
      <color indexed="60"/>
      <name val="Arial"/>
      <family val="2"/>
    </font>
    <font>
      <sz val="8"/>
      <color indexed="60"/>
      <name val="Arial"/>
      <family val="2"/>
    </font>
    <font>
      <b/>
      <sz val="9"/>
      <name val="Arial"/>
      <family val="2"/>
    </font>
    <font>
      <sz val="14"/>
      <color indexed="60"/>
      <name val="Arial"/>
      <family val="2"/>
    </font>
    <font>
      <b/>
      <sz val="18"/>
      <color indexed="9"/>
      <name val="Verdana"/>
      <family val="2"/>
    </font>
    <font>
      <sz val="18"/>
      <color indexed="9"/>
      <name val="Verdana"/>
      <family val="2"/>
    </font>
    <font>
      <sz val="18"/>
      <name val="Arial"/>
      <family val="2"/>
    </font>
    <font>
      <sz val="16"/>
      <name val="Arial"/>
      <family val="2"/>
    </font>
    <font>
      <b/>
      <sz val="14"/>
      <color indexed="16"/>
      <name val="Arial"/>
      <family val="2"/>
    </font>
    <font>
      <b/>
      <sz val="11"/>
      <color indexed="9"/>
      <name val="Copperplate Gothic Bold"/>
      <family val="2"/>
    </font>
    <font>
      <b/>
      <sz val="9"/>
      <color indexed="60"/>
      <name val="Arial"/>
      <family val="2"/>
    </font>
    <font>
      <b/>
      <sz val="9"/>
      <color indexed="16"/>
      <name val="Arial"/>
      <family val="2"/>
    </font>
    <font>
      <b/>
      <sz val="11"/>
      <color indexed="16"/>
      <name val="Arial Narrow"/>
      <family val="2"/>
    </font>
    <font>
      <sz val="12"/>
      <color indexed="16"/>
      <name val="Arial"/>
      <family val="2"/>
    </font>
    <font>
      <b/>
      <sz val="12"/>
      <color indexed="10"/>
      <name val="Arial"/>
      <family val="2"/>
    </font>
    <font>
      <sz val="12"/>
      <color indexed="10"/>
      <name val="Arial"/>
      <family val="2"/>
    </font>
    <font>
      <b/>
      <sz val="12"/>
      <color indexed="8"/>
      <name val="Arial"/>
      <family val="2"/>
    </font>
    <font>
      <b/>
      <sz val="12"/>
      <color indexed="16"/>
      <name val="Arial"/>
      <family val="2"/>
    </font>
    <font>
      <sz val="12"/>
      <color indexed="8"/>
      <name val="Arial"/>
      <family val="2"/>
    </font>
    <font>
      <b/>
      <sz val="11"/>
      <color indexed="13"/>
      <name val="Arial"/>
      <family val="2"/>
    </font>
    <font>
      <b/>
      <sz val="8"/>
      <color indexed="55"/>
      <name val="Arial"/>
      <family val="2"/>
    </font>
    <font>
      <b/>
      <sz val="14"/>
      <color indexed="12"/>
      <name val="Copperplate Gothic Bold"/>
      <family val="2"/>
    </font>
    <font>
      <b/>
      <sz val="8"/>
      <color indexed="10"/>
      <name val="Arial"/>
      <family val="2"/>
    </font>
    <font>
      <sz val="8"/>
      <color indexed="10"/>
      <name val="Arial"/>
      <family val="2"/>
    </font>
    <font>
      <sz val="12"/>
      <color indexed="51"/>
      <name val="Arial"/>
      <family val="2"/>
    </font>
    <font>
      <sz val="10"/>
      <color indexed="10"/>
      <name val="Arial"/>
      <family val="2"/>
    </font>
    <font>
      <sz val="14"/>
      <color indexed="16"/>
      <name val="Verdana"/>
      <family val="2"/>
    </font>
    <font>
      <b/>
      <sz val="14"/>
      <color indexed="16"/>
      <name val="Verdana"/>
      <family val="2"/>
    </font>
    <font>
      <sz val="12"/>
      <name val="Verdana"/>
      <family val="2"/>
    </font>
    <font>
      <b/>
      <sz val="14"/>
      <color indexed="60"/>
      <name val="Verdana"/>
      <family val="2"/>
    </font>
    <font>
      <b/>
      <sz val="14"/>
      <name val="Copperplate Gothic Bold"/>
      <family val="2"/>
    </font>
    <font>
      <b/>
      <sz val="14"/>
      <name val="Arial"/>
      <family val="2"/>
    </font>
    <font>
      <sz val="11"/>
      <name val="Symbol"/>
      <family val="1"/>
      <charset val="2"/>
    </font>
    <font>
      <sz val="9"/>
      <color indexed="8"/>
      <name val="Arial"/>
      <family val="2"/>
    </font>
    <font>
      <sz val="14"/>
      <name val="Copperplate Gothic Bold"/>
      <family val="2"/>
    </font>
    <font>
      <b/>
      <i/>
      <sz val="10"/>
      <color indexed="12"/>
      <name val="Arial"/>
      <family val="2"/>
    </font>
    <font>
      <sz val="14"/>
      <name val="Arial"/>
      <family val="2"/>
    </font>
    <font>
      <i/>
      <sz val="10"/>
      <color indexed="10"/>
      <name val="Arial"/>
      <family val="2"/>
    </font>
    <font>
      <b/>
      <i/>
      <sz val="11"/>
      <color indexed="16"/>
      <name val="Arial"/>
      <family val="2"/>
    </font>
    <font>
      <b/>
      <i/>
      <sz val="11"/>
      <color indexed="8"/>
      <name val="Arial"/>
      <family val="2"/>
    </font>
    <font>
      <b/>
      <i/>
      <sz val="11"/>
      <color indexed="12"/>
      <name val="Arial"/>
      <family val="2"/>
    </font>
    <font>
      <b/>
      <sz val="11"/>
      <color indexed="21"/>
      <name val="Arial"/>
      <family val="2"/>
    </font>
    <font>
      <b/>
      <i/>
      <sz val="11"/>
      <name val="Arial"/>
      <family val="2"/>
    </font>
    <font>
      <b/>
      <sz val="11"/>
      <name val="Calibri"/>
      <family val="2"/>
    </font>
    <font>
      <b/>
      <sz val="11"/>
      <color indexed="8"/>
      <name val="Calibri"/>
      <family val="2"/>
    </font>
    <font>
      <b/>
      <sz val="11"/>
      <color indexed="9"/>
      <name val="Calibri"/>
      <family val="2"/>
    </font>
    <font>
      <sz val="11"/>
      <color indexed="9"/>
      <name val="Calibri"/>
      <family val="2"/>
    </font>
    <font>
      <b/>
      <sz val="11"/>
      <color indexed="16"/>
      <name val="Calibri"/>
      <family val="2"/>
    </font>
    <font>
      <sz val="11"/>
      <color indexed="16"/>
      <name val="Calibri"/>
      <family val="2"/>
    </font>
    <font>
      <vertAlign val="superscript"/>
      <sz val="11"/>
      <color indexed="16"/>
      <name val="Calibri"/>
      <family val="2"/>
    </font>
    <font>
      <i/>
      <sz val="11"/>
      <color indexed="16"/>
      <name val="Calibri"/>
      <family val="2"/>
    </font>
    <font>
      <b/>
      <sz val="11"/>
      <color indexed="13"/>
      <name val="Calibri"/>
      <family val="2"/>
    </font>
    <font>
      <b/>
      <vertAlign val="subscript"/>
      <sz val="11"/>
      <color indexed="9"/>
      <name val="Calibri"/>
      <family val="2"/>
    </font>
    <font>
      <sz val="8"/>
      <color indexed="9"/>
      <name val="Calibri"/>
      <family val="2"/>
    </font>
    <font>
      <b/>
      <sz val="11"/>
      <color indexed="42"/>
      <name val="Calibri"/>
      <family val="2"/>
    </font>
    <font>
      <b/>
      <sz val="11"/>
      <color indexed="43"/>
      <name val="Calibri"/>
      <family val="2"/>
    </font>
    <font>
      <b/>
      <sz val="11"/>
      <color indexed="47"/>
      <name val="Calibri"/>
      <family val="2"/>
    </font>
    <font>
      <b/>
      <sz val="11"/>
      <color indexed="55"/>
      <name val="Calibri"/>
      <family val="2"/>
    </font>
    <font>
      <b/>
      <i/>
      <sz val="11"/>
      <color indexed="8"/>
      <name val="Calibri"/>
      <family val="2"/>
    </font>
    <font>
      <b/>
      <sz val="11"/>
      <color indexed="60"/>
      <name val="Calibri"/>
      <family val="2"/>
    </font>
    <font>
      <sz val="11"/>
      <name val="Arial Rounded MT Bold"/>
      <family val="2"/>
    </font>
    <font>
      <b/>
      <sz val="11"/>
      <color indexed="16"/>
      <name val="Arial Rounded MT Bold"/>
      <family val="2"/>
    </font>
    <font>
      <b/>
      <vertAlign val="subscript"/>
      <sz val="11"/>
      <color indexed="8"/>
      <name val="Arial"/>
      <family val="2"/>
    </font>
    <font>
      <b/>
      <sz val="16"/>
      <color indexed="18"/>
      <name val="Verdana"/>
      <family val="2"/>
    </font>
    <font>
      <sz val="16"/>
      <color indexed="18"/>
      <name val="Verdana"/>
      <family val="2"/>
    </font>
    <font>
      <b/>
      <sz val="20"/>
      <color indexed="18"/>
      <name val="Verdana"/>
      <family val="2"/>
    </font>
    <font>
      <sz val="20"/>
      <name val="Verdana"/>
      <family val="2"/>
    </font>
    <font>
      <sz val="12"/>
      <name val="Copperplate Gothic Bold"/>
      <family val="2"/>
    </font>
    <font>
      <b/>
      <sz val="11"/>
      <color theme="1"/>
      <name val="Calibri"/>
      <family val="2"/>
      <scheme val="minor"/>
    </font>
    <font>
      <b/>
      <sz val="11"/>
      <color rgb="FF202020"/>
      <name val="Arial"/>
      <family val="2"/>
    </font>
    <font>
      <b/>
      <sz val="11"/>
      <color indexed="8"/>
      <name val="Calibri"/>
      <family val="2"/>
      <scheme val="minor"/>
    </font>
    <font>
      <b/>
      <sz val="11"/>
      <color indexed="12"/>
      <name val="Calibri"/>
      <family val="2"/>
      <scheme val="minor"/>
    </font>
    <font>
      <b/>
      <sz val="11"/>
      <name val="Calibri"/>
      <family val="2"/>
      <scheme val="minor"/>
    </font>
    <font>
      <b/>
      <sz val="11"/>
      <color indexed="9"/>
      <name val="Calibri"/>
      <family val="2"/>
      <scheme val="minor"/>
    </font>
    <font>
      <sz val="11"/>
      <name val="Calibri"/>
      <family val="2"/>
      <scheme val="minor"/>
    </font>
    <font>
      <b/>
      <sz val="11"/>
      <color indexed="16"/>
      <name val="Calibri"/>
      <family val="2"/>
      <scheme val="minor"/>
    </font>
    <font>
      <b/>
      <sz val="11"/>
      <color indexed="13"/>
      <name val="Calibri"/>
      <family val="2"/>
      <scheme val="minor"/>
    </font>
    <font>
      <b/>
      <sz val="11"/>
      <color rgb="FF0033CC"/>
      <name val="Calibri"/>
      <family val="2"/>
      <scheme val="minor"/>
    </font>
    <font>
      <b/>
      <sz val="11"/>
      <color rgb="FF0000FF"/>
      <name val="Calibri"/>
      <family val="2"/>
      <scheme val="minor"/>
    </font>
    <font>
      <sz val="11"/>
      <color rgb="FF0000FF"/>
      <name val="Calibri"/>
      <family val="2"/>
      <scheme val="minor"/>
    </font>
    <font>
      <sz val="11"/>
      <color indexed="8"/>
      <name val="Calibri"/>
      <family val="2"/>
      <scheme val="minor"/>
    </font>
    <font>
      <b/>
      <sz val="11"/>
      <color rgb="FF020DE4"/>
      <name val="Calibri"/>
      <family val="2"/>
      <scheme val="minor"/>
    </font>
    <font>
      <u/>
      <sz val="11"/>
      <color indexed="12"/>
      <name val="Calibri"/>
      <family val="2"/>
      <scheme val="minor"/>
    </font>
    <font>
      <b/>
      <sz val="11"/>
      <color indexed="10"/>
      <name val="Calibri"/>
      <family val="2"/>
      <scheme val="minor"/>
    </font>
    <font>
      <b/>
      <sz val="11"/>
      <color indexed="60"/>
      <name val="Calibri"/>
      <family val="2"/>
      <scheme val="minor"/>
    </font>
    <font>
      <sz val="12"/>
      <name val="Calibri"/>
      <family val="2"/>
      <scheme val="minor"/>
    </font>
    <font>
      <sz val="10"/>
      <color indexed="16"/>
      <name val="Calibri"/>
      <family val="2"/>
      <scheme val="minor"/>
    </font>
    <font>
      <b/>
      <sz val="10"/>
      <color indexed="9"/>
      <name val="Calibri"/>
      <family val="2"/>
      <scheme val="minor"/>
    </font>
    <font>
      <b/>
      <sz val="12"/>
      <color indexed="12"/>
      <name val="Calibri"/>
      <family val="2"/>
      <scheme val="minor"/>
    </font>
    <font>
      <b/>
      <sz val="12"/>
      <color indexed="16"/>
      <name val="Calibri"/>
      <family val="2"/>
      <scheme val="minor"/>
    </font>
    <font>
      <b/>
      <sz val="14"/>
      <color indexed="16"/>
      <name val="Calibri"/>
      <family val="2"/>
      <scheme val="minor"/>
    </font>
    <font>
      <b/>
      <sz val="12"/>
      <color indexed="9"/>
      <name val="Calibri"/>
      <family val="2"/>
      <scheme val="minor"/>
    </font>
    <font>
      <sz val="8"/>
      <color indexed="55"/>
      <name val="Calibri"/>
      <family val="2"/>
      <scheme val="minor"/>
    </font>
    <font>
      <b/>
      <sz val="11"/>
      <color rgb="FF0202BE"/>
      <name val="Calibri"/>
      <family val="2"/>
      <scheme val="minor"/>
    </font>
    <font>
      <sz val="8"/>
      <color theme="0" tint="-0.34998626667073579"/>
      <name val="Calibri"/>
      <family val="2"/>
      <scheme val="minor"/>
    </font>
    <font>
      <sz val="12"/>
      <color indexed="16"/>
      <name val="Calibri"/>
      <family val="2"/>
      <scheme val="minor"/>
    </font>
    <font>
      <sz val="11"/>
      <color indexed="16"/>
      <name val="Calibri"/>
      <family val="2"/>
      <scheme val="minor"/>
    </font>
    <font>
      <sz val="11"/>
      <color indexed="10"/>
      <name val="Calibri"/>
      <family val="2"/>
      <scheme val="minor"/>
    </font>
    <font>
      <b/>
      <sz val="11"/>
      <color indexed="42"/>
      <name val="Calibri"/>
      <family val="2"/>
      <scheme val="minor"/>
    </font>
    <font>
      <b/>
      <sz val="11"/>
      <color indexed="63"/>
      <name val="Calibri"/>
      <family val="2"/>
      <scheme val="minor"/>
    </font>
    <font>
      <b/>
      <sz val="11"/>
      <color indexed="22"/>
      <name val="Calibri"/>
      <family val="2"/>
      <scheme val="minor"/>
    </font>
    <font>
      <b/>
      <sz val="10"/>
      <name val="Calibri"/>
      <family val="2"/>
      <scheme val="minor"/>
    </font>
    <font>
      <b/>
      <sz val="14"/>
      <color indexed="9"/>
      <name val="Calibri"/>
      <family val="2"/>
      <scheme val="minor"/>
    </font>
    <font>
      <sz val="12"/>
      <color theme="1"/>
      <name val="Calibri"/>
      <family val="2"/>
      <scheme val="minor"/>
    </font>
    <font>
      <sz val="11"/>
      <color indexed="9"/>
      <name val="Calibri"/>
      <family val="2"/>
      <scheme val="minor"/>
    </font>
    <font>
      <b/>
      <sz val="9"/>
      <color indexed="9"/>
      <name val="Calibri"/>
      <family val="2"/>
      <scheme val="minor"/>
    </font>
    <font>
      <sz val="10"/>
      <name val="Calibri"/>
      <family val="2"/>
      <scheme val="minor"/>
    </font>
    <font>
      <sz val="8.5"/>
      <color indexed="16"/>
      <name val="Calibri"/>
      <family val="2"/>
      <scheme val="minor"/>
    </font>
    <font>
      <sz val="8.5"/>
      <name val="Calibri"/>
      <family val="2"/>
      <scheme val="minor"/>
    </font>
    <font>
      <sz val="8"/>
      <color indexed="22"/>
      <name val="Calibri"/>
      <family val="2"/>
      <scheme val="minor"/>
    </font>
    <font>
      <sz val="12"/>
      <color indexed="22"/>
      <name val="Calibri"/>
      <family val="2"/>
      <scheme val="minor"/>
    </font>
    <font>
      <b/>
      <sz val="8"/>
      <color indexed="16"/>
      <name val="Calibri"/>
      <family val="2"/>
      <scheme val="minor"/>
    </font>
    <font>
      <b/>
      <sz val="11"/>
      <color rgb="FF180EE4"/>
      <name val="Calibri"/>
      <family val="2"/>
      <scheme val="minor"/>
    </font>
    <font>
      <b/>
      <sz val="11"/>
      <color rgb="FF8B3331"/>
      <name val="Arial"/>
      <family val="2"/>
    </font>
    <font>
      <b/>
      <sz val="11"/>
      <color theme="5" tint="-0.249977111117893"/>
      <name val="Calibri"/>
      <family val="2"/>
      <scheme val="minor"/>
    </font>
    <font>
      <b/>
      <sz val="11"/>
      <color rgb="FF3135C5"/>
      <name val="Calibri"/>
      <family val="2"/>
      <scheme val="minor"/>
    </font>
    <font>
      <b/>
      <sz val="14"/>
      <color indexed="8"/>
      <name val="Calibri"/>
      <family val="2"/>
      <scheme val="minor"/>
    </font>
    <font>
      <b/>
      <sz val="14"/>
      <color theme="1"/>
      <name val="Calibri"/>
      <family val="2"/>
      <scheme val="minor"/>
    </font>
    <font>
      <sz val="10"/>
      <color rgb="FFA40000"/>
      <name val="Arial"/>
      <family val="2"/>
    </font>
    <font>
      <b/>
      <sz val="11"/>
      <color rgb="FFA40000"/>
      <name val="Calibri"/>
      <family val="2"/>
      <scheme val="minor"/>
    </font>
    <font>
      <b/>
      <sz val="10"/>
      <color indexed="10"/>
      <name val="Calibri"/>
      <family val="2"/>
      <scheme val="minor"/>
    </font>
    <font>
      <sz val="11"/>
      <color rgb="FFFF0000"/>
      <name val="Calibri"/>
      <family val="2"/>
      <scheme val="minor"/>
    </font>
    <font>
      <b/>
      <sz val="11"/>
      <color rgb="FF0017C0"/>
      <name val="Calibri"/>
      <family val="2"/>
      <scheme val="minor"/>
    </font>
    <font>
      <b/>
      <sz val="10"/>
      <color theme="1"/>
      <name val="Arial"/>
      <family val="2"/>
    </font>
    <font>
      <sz val="12"/>
      <color indexed="9"/>
      <name val="Calibri"/>
      <family val="2"/>
      <scheme val="minor"/>
    </font>
    <font>
      <b/>
      <sz val="14"/>
      <color rgb="FF002060"/>
      <name val="Verdana"/>
      <family val="2"/>
    </font>
    <font>
      <sz val="14"/>
      <color rgb="FF002060"/>
      <name val="Verdana"/>
      <family val="2"/>
    </font>
    <font>
      <b/>
      <sz val="12"/>
      <color rgb="FF180EE4"/>
      <name val="Copperplate Gothic Bold"/>
      <family val="2"/>
    </font>
    <font>
      <b/>
      <sz val="12"/>
      <color indexed="12"/>
      <name val="Copperplate Gothic Bold"/>
      <family val="2"/>
    </font>
    <font>
      <b/>
      <sz val="12"/>
      <color rgb="FF0000FF"/>
      <name val="Copperplate Gothic Bold"/>
      <family val="2"/>
    </font>
    <font>
      <sz val="12"/>
      <color rgb="FF0000FF"/>
      <name val="Copperplate Gothic Bold"/>
      <family val="2"/>
    </font>
    <font>
      <b/>
      <sz val="12"/>
      <color rgb="FF0033CC"/>
      <name val="Copperplate Gothic Bold"/>
      <family val="2"/>
    </font>
    <font>
      <b/>
      <sz val="11"/>
      <color theme="0" tint="-0.24994659260841701"/>
      <name val="Calibri"/>
      <family val="2"/>
      <scheme val="minor"/>
    </font>
    <font>
      <b/>
      <sz val="12"/>
      <name val="Arial Narrow"/>
      <family val="2"/>
    </font>
    <font>
      <sz val="12"/>
      <color indexed="10"/>
      <name val="Calibri"/>
      <family val="2"/>
      <scheme val="minor"/>
    </font>
    <font>
      <b/>
      <sz val="12"/>
      <color rgb="FFFF0000"/>
      <name val="Arial"/>
      <family val="2"/>
    </font>
    <font>
      <b/>
      <sz val="12"/>
      <color rgb="FFFF0000"/>
      <name val="Calibri"/>
      <family val="2"/>
      <scheme val="minor"/>
    </font>
    <font>
      <sz val="8"/>
      <color theme="0" tint="-0.499984740745262"/>
      <name val="Calibri"/>
      <family val="2"/>
      <scheme val="minor"/>
    </font>
    <font>
      <b/>
      <sz val="12"/>
      <color rgb="FF0017C0"/>
      <name val="Calibri"/>
      <family val="2"/>
      <scheme val="minor"/>
    </font>
    <font>
      <b/>
      <sz val="8"/>
      <color theme="0" tint="-0.499984740745262"/>
      <name val="Calibri"/>
      <family val="2"/>
      <scheme val="minor"/>
    </font>
    <font>
      <b/>
      <sz val="14"/>
      <color rgb="FF0000FF"/>
      <name val="Copperplate Gothic Bold"/>
      <family val="2"/>
    </font>
    <font>
      <b/>
      <sz val="12"/>
      <name val="Copperplate Gothic Bold"/>
      <family val="2"/>
    </font>
    <font>
      <b/>
      <sz val="10"/>
      <color indexed="12"/>
      <name val="Arial"/>
      <family val="2"/>
    </font>
    <font>
      <b/>
      <sz val="11"/>
      <color rgb="FF0017C0"/>
      <name val="Arial"/>
      <family val="2"/>
    </font>
    <font>
      <b/>
      <sz val="11"/>
      <color rgb="FF0000C4"/>
      <name val="Calibri"/>
      <family val="2"/>
      <scheme val="minor"/>
    </font>
    <font>
      <sz val="11"/>
      <color rgb="FF0000C4"/>
      <name val="Calibri"/>
      <family val="2"/>
      <scheme val="minor"/>
    </font>
    <font>
      <b/>
      <i/>
      <sz val="11"/>
      <color rgb="FFFF0000"/>
      <name val="Calibri"/>
      <family val="2"/>
      <scheme val="minor"/>
    </font>
    <font>
      <sz val="9"/>
      <name val="Arial"/>
      <family val="2"/>
    </font>
    <font>
      <b/>
      <sz val="12"/>
      <color indexed="16"/>
      <name val="Arial Black"/>
      <family val="2"/>
    </font>
    <font>
      <b/>
      <sz val="9"/>
      <color theme="5" tint="-0.249977111117893"/>
      <name val="Arial"/>
      <family val="2"/>
    </font>
    <font>
      <b/>
      <sz val="9"/>
      <color indexed="12"/>
      <name val="Arial"/>
      <family val="2"/>
    </font>
    <font>
      <b/>
      <sz val="12"/>
      <color theme="0"/>
      <name val="Calibri"/>
      <family val="2"/>
    </font>
    <font>
      <sz val="11"/>
      <color theme="1"/>
      <name val="Arial"/>
      <family val="2"/>
    </font>
    <font>
      <b/>
      <sz val="11"/>
      <color theme="1"/>
      <name val="Arial"/>
      <family val="2"/>
    </font>
    <font>
      <b/>
      <sz val="9"/>
      <color rgb="FF0E00C0"/>
      <name val="Arial"/>
      <family val="2"/>
    </font>
    <font>
      <b/>
      <sz val="10"/>
      <color indexed="12"/>
      <name val="Calibri"/>
      <family val="2"/>
      <scheme val="minor"/>
    </font>
    <font>
      <b/>
      <sz val="11"/>
      <color rgb="FF0E00C0"/>
      <name val="Arial"/>
      <family val="2"/>
    </font>
    <font>
      <b/>
      <sz val="11"/>
      <color theme="0" tint="-0.499984740745262"/>
      <name val="Calibri"/>
      <family val="2"/>
      <scheme val="minor"/>
    </font>
    <font>
      <b/>
      <sz val="8"/>
      <color indexed="12"/>
      <name val="Arial"/>
      <family val="2"/>
    </font>
    <font>
      <b/>
      <sz val="11"/>
      <color theme="0" tint="-4.9989318521683403E-2"/>
      <name val="Calibri"/>
      <family val="2"/>
      <scheme val="minor"/>
    </font>
  </fonts>
  <fills count="17">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22"/>
        <bgColor indexed="22"/>
      </patternFill>
    </fill>
    <fill>
      <patternFill patternType="solid">
        <fgColor indexed="55"/>
        <bgColor indexed="64"/>
      </patternFill>
    </fill>
    <fill>
      <patternFill patternType="solid">
        <fgColor indexed="9"/>
        <bgColor indexed="64"/>
      </patternFill>
    </fill>
    <fill>
      <patternFill patternType="gray0625"/>
    </fill>
    <fill>
      <patternFill patternType="solid">
        <fgColor indexed="53"/>
        <bgColor indexed="64"/>
      </patternFill>
    </fill>
    <fill>
      <patternFill patternType="solid">
        <fgColor theme="0" tint="-0.24994659260841701"/>
        <bgColor indexed="64"/>
      </patternFill>
    </fill>
    <fill>
      <patternFill patternType="solid">
        <fgColor theme="0" tint="-0.24994659260841701"/>
        <bgColor theme="0" tint="-0.24994659260841701"/>
      </patternFill>
    </fill>
    <fill>
      <patternFill patternType="solid">
        <fgColor theme="0" tint="-0.249977111117893"/>
        <bgColor indexed="64"/>
      </patternFill>
    </fill>
    <fill>
      <patternFill patternType="solid">
        <fgColor theme="0"/>
        <bgColor indexed="64"/>
      </patternFill>
    </fill>
    <fill>
      <gradientFill degree="90">
        <stop position="0">
          <color theme="0"/>
        </stop>
        <stop position="1">
          <color theme="4"/>
        </stop>
      </gradientFill>
    </fill>
    <fill>
      <patternFill patternType="solid">
        <fgColor theme="0" tint="-0.499984740745262"/>
        <bgColor indexed="64"/>
      </patternFill>
    </fill>
    <fill>
      <patternFill patternType="solid">
        <fgColor rgb="FFFF6600"/>
        <bgColor indexed="64"/>
      </patternFill>
    </fill>
    <fill>
      <patternFill patternType="solid">
        <fgColor rgb="FFD16309"/>
        <bgColor indexed="64"/>
      </patternFill>
    </fill>
  </fills>
  <borders count="193">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ck">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bottom/>
      <diagonal/>
    </border>
    <border>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dotted">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diagonal/>
    </border>
    <border>
      <left/>
      <right style="medium">
        <color indexed="64"/>
      </right>
      <top style="medium">
        <color indexed="64"/>
      </top>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ck">
        <color indexed="64"/>
      </bottom>
      <diagonal/>
    </border>
    <border>
      <left style="thick">
        <color indexed="64"/>
      </left>
      <right/>
      <top/>
      <bottom style="thick">
        <color indexed="64"/>
      </bottom>
      <diagonal/>
    </border>
    <border>
      <left/>
      <right/>
      <top style="medium">
        <color indexed="64"/>
      </top>
      <bottom style="medium">
        <color indexed="64"/>
      </bottom>
      <diagonal/>
    </border>
    <border>
      <left style="thick">
        <color indexed="64"/>
      </left>
      <right/>
      <top style="thick">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style="medium">
        <color indexed="64"/>
      </top>
      <bottom style="thin">
        <color indexed="18"/>
      </bottom>
      <diagonal/>
    </border>
    <border>
      <left style="thin">
        <color indexed="64"/>
      </left>
      <right style="medium">
        <color indexed="64"/>
      </right>
      <top style="thin">
        <color indexed="18"/>
      </top>
      <bottom style="medium">
        <color indexed="64"/>
      </bottom>
      <diagonal/>
    </border>
    <border>
      <left style="thin">
        <color indexed="64"/>
      </left>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top/>
      <bottom/>
      <diagonal/>
    </border>
    <border>
      <left style="thin">
        <color indexed="64"/>
      </left>
      <right style="double">
        <color indexed="64"/>
      </right>
      <top/>
      <bottom style="medium">
        <color indexed="64"/>
      </bottom>
      <diagonal/>
    </border>
    <border>
      <left style="double">
        <color indexed="64"/>
      </left>
      <right style="dashed">
        <color indexed="64"/>
      </right>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style="dashed">
        <color indexed="64"/>
      </left>
      <right style="dashed">
        <color indexed="64"/>
      </right>
      <top/>
      <bottom style="medium">
        <color indexed="64"/>
      </bottom>
      <diagonal/>
    </border>
    <border>
      <left style="dashed">
        <color indexed="64"/>
      </left>
      <right style="double">
        <color indexed="64"/>
      </right>
      <top/>
      <bottom style="medium">
        <color indexed="64"/>
      </bottom>
      <diagonal/>
    </border>
    <border>
      <left style="thin">
        <color indexed="23"/>
      </left>
      <right style="dashed">
        <color indexed="23"/>
      </right>
      <top/>
      <bottom style="dashed">
        <color indexed="23"/>
      </bottom>
      <diagonal/>
    </border>
    <border>
      <left/>
      <right style="dashed">
        <color indexed="23"/>
      </right>
      <top/>
      <bottom style="dashed">
        <color indexed="23"/>
      </bottom>
      <diagonal/>
    </border>
    <border>
      <left style="dashed">
        <color indexed="23"/>
      </left>
      <right/>
      <top/>
      <bottom style="dashed">
        <color indexed="23"/>
      </bottom>
      <diagonal/>
    </border>
    <border>
      <left style="thin">
        <color indexed="23"/>
      </left>
      <right style="dashed">
        <color indexed="23"/>
      </right>
      <top style="dashed">
        <color indexed="23"/>
      </top>
      <bottom style="dashed">
        <color indexed="23"/>
      </bottom>
      <diagonal/>
    </border>
    <border>
      <left/>
      <right style="dashed">
        <color indexed="23"/>
      </right>
      <top style="dashed">
        <color indexed="23"/>
      </top>
      <bottom style="dashed">
        <color indexed="23"/>
      </bottom>
      <diagonal/>
    </border>
    <border>
      <left style="dashed">
        <color indexed="23"/>
      </left>
      <right/>
      <top style="dashed">
        <color indexed="23"/>
      </top>
      <bottom style="dashed">
        <color indexed="23"/>
      </bottom>
      <diagonal/>
    </border>
    <border>
      <left style="thin">
        <color indexed="23"/>
      </left>
      <right style="dashed">
        <color indexed="23"/>
      </right>
      <top style="dashed">
        <color indexed="23"/>
      </top>
      <bottom/>
      <diagonal/>
    </border>
    <border>
      <left/>
      <right style="dashed">
        <color indexed="23"/>
      </right>
      <top style="dashed">
        <color indexed="23"/>
      </top>
      <bottom/>
      <diagonal/>
    </border>
    <border>
      <left style="dashed">
        <color indexed="23"/>
      </left>
      <right/>
      <top style="dashed">
        <color indexed="23"/>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8"/>
      </top>
      <bottom/>
      <diagonal/>
    </border>
    <border>
      <left/>
      <right style="thin">
        <color indexed="64"/>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18"/>
      </bottom>
      <diagonal/>
    </border>
    <border>
      <left/>
      <right style="medium">
        <color indexed="64"/>
      </right>
      <top style="medium">
        <color indexed="64"/>
      </top>
      <bottom style="thin">
        <color indexed="18"/>
      </bottom>
      <diagonal/>
    </border>
    <border>
      <left style="medium">
        <color indexed="64"/>
      </left>
      <right style="medium">
        <color indexed="64"/>
      </right>
      <top style="thin">
        <color indexed="64"/>
      </top>
      <bottom/>
      <diagonal/>
    </border>
    <border>
      <left style="dashed">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top style="thin">
        <color indexed="18"/>
      </top>
      <bottom style="medium">
        <color indexed="64"/>
      </bottom>
      <diagonal/>
    </border>
    <border>
      <left/>
      <right style="medium">
        <color indexed="64"/>
      </right>
      <top style="thin">
        <color indexed="18"/>
      </top>
      <bottom style="medium">
        <color indexed="64"/>
      </bottom>
      <diagonal/>
    </border>
    <border>
      <left style="dotted">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bottom style="dashed">
        <color indexed="23"/>
      </bottom>
      <diagonal/>
    </border>
    <border>
      <left/>
      <right/>
      <top style="dashed">
        <color indexed="23"/>
      </top>
      <bottom style="dashed">
        <color indexed="23"/>
      </bottom>
      <diagonal/>
    </border>
    <border>
      <left/>
      <right/>
      <top style="dashed">
        <color indexed="23"/>
      </top>
      <bottom/>
      <diagonal/>
    </border>
    <border>
      <left style="dashed">
        <color indexed="23"/>
      </left>
      <right style="dashed">
        <color indexed="23"/>
      </right>
      <top style="dashed">
        <color indexed="23"/>
      </top>
      <bottom style="dashed">
        <color indexed="23"/>
      </bottom>
      <diagonal/>
    </border>
    <border>
      <left style="dashed">
        <color indexed="23"/>
      </left>
      <right style="thin">
        <color indexed="23"/>
      </right>
      <top style="dashed">
        <color indexed="23"/>
      </top>
      <bottom style="dashed">
        <color indexed="23"/>
      </bottom>
      <diagonal/>
    </border>
    <border>
      <left style="dashed">
        <color indexed="23"/>
      </left>
      <right style="dashed">
        <color indexed="23"/>
      </right>
      <top style="dashed">
        <color indexed="23"/>
      </top>
      <bottom/>
      <diagonal/>
    </border>
    <border>
      <left style="dashed">
        <color indexed="23"/>
      </left>
      <right style="thin">
        <color indexed="23"/>
      </right>
      <top style="dashed">
        <color indexed="23"/>
      </top>
      <bottom/>
      <diagonal/>
    </border>
    <border>
      <left style="dashed">
        <color indexed="23"/>
      </left>
      <right style="dashed">
        <color indexed="23"/>
      </right>
      <top/>
      <bottom style="dashed">
        <color indexed="23"/>
      </bottom>
      <diagonal/>
    </border>
    <border>
      <left style="dashed">
        <color indexed="23"/>
      </left>
      <right style="thin">
        <color indexed="23"/>
      </right>
      <top/>
      <bottom style="dashed">
        <color indexed="23"/>
      </bottom>
      <diagonal/>
    </border>
    <border>
      <left style="thick">
        <color indexed="64"/>
      </left>
      <right style="medium">
        <color indexed="64"/>
      </right>
      <top/>
      <bottom/>
      <diagonal/>
    </border>
    <border>
      <left/>
      <right style="thick">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n">
        <color indexed="64"/>
      </right>
      <top style="thin">
        <color indexed="64"/>
      </top>
      <bottom/>
      <diagonal/>
    </border>
    <border>
      <left style="thick">
        <color indexed="64"/>
      </left>
      <right style="medium">
        <color indexed="64"/>
      </right>
      <top style="thick">
        <color indexed="64"/>
      </top>
      <bottom style="thick">
        <color indexed="64"/>
      </bottom>
      <diagonal/>
    </border>
    <border>
      <left style="thick">
        <color indexed="64"/>
      </left>
      <right/>
      <top style="thin">
        <color indexed="64"/>
      </top>
      <bottom/>
      <diagonal/>
    </border>
    <border>
      <left/>
      <right style="medium">
        <color indexed="64"/>
      </right>
      <top style="thin">
        <color indexed="64"/>
      </top>
      <bottom/>
      <diagonal/>
    </border>
    <border>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18"/>
      </top>
      <bottom style="thin">
        <color indexed="64"/>
      </bottom>
      <diagonal/>
    </border>
    <border>
      <left style="medium">
        <color indexed="64"/>
      </left>
      <right style="thick">
        <color indexed="64"/>
      </right>
      <top style="medium">
        <color indexed="64"/>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style="thick">
        <color indexed="64"/>
      </top>
      <bottom style="thick">
        <color indexed="64"/>
      </bottom>
      <diagonal/>
    </border>
    <border>
      <left style="thick">
        <color indexed="64"/>
      </left>
      <right/>
      <top style="medium">
        <color indexed="64"/>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thick">
        <color indexed="64"/>
      </bottom>
      <diagonal/>
    </border>
  </borders>
  <cellStyleXfs count="4">
    <xf numFmtId="0" fontId="0" fillId="0" borderId="0"/>
    <xf numFmtId="227" fontId="20" fillId="0" borderId="1" applyFont="0" applyBorder="0" applyProtection="0">
      <alignment horizontal="center" vertical="center"/>
      <protection locked="0"/>
    </xf>
    <xf numFmtId="0" fontId="4" fillId="0" borderId="0" applyNumberFormat="0" applyFill="0" applyBorder="0" applyAlignment="0" applyProtection="0">
      <alignment vertical="top"/>
      <protection locked="0"/>
    </xf>
    <xf numFmtId="164" fontId="3" fillId="0" borderId="0" applyFont="0" applyFill="0" applyBorder="0" applyAlignment="0" applyProtection="0"/>
  </cellStyleXfs>
  <cellXfs count="1200">
    <xf numFmtId="0" fontId="0" fillId="0" borderId="0" xfId="0"/>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xf>
    <xf numFmtId="186" fontId="33" fillId="3" borderId="3" xfId="0" applyNumberFormat="1" applyFont="1" applyFill="1" applyBorder="1" applyAlignment="1">
      <alignment horizontal="center" vertical="center"/>
    </xf>
    <xf numFmtId="186" fontId="33" fillId="3" borderId="4" xfId="0" applyNumberFormat="1" applyFont="1" applyFill="1" applyBorder="1" applyAlignment="1">
      <alignment horizontal="center" vertical="center"/>
    </xf>
    <xf numFmtId="186" fontId="33" fillId="3" borderId="5" xfId="0" applyNumberFormat="1" applyFont="1" applyFill="1" applyBorder="1" applyAlignment="1">
      <alignment horizontal="center" vertical="center"/>
    </xf>
    <xf numFmtId="186" fontId="33" fillId="3" borderId="0" xfId="0" applyNumberFormat="1" applyFont="1" applyFill="1" applyAlignment="1">
      <alignment horizontal="center" vertical="center"/>
    </xf>
    <xf numFmtId="0" fontId="32" fillId="2" borderId="6" xfId="0" applyFont="1" applyFill="1" applyBorder="1" applyAlignment="1" applyProtection="1">
      <alignment horizontal="center" vertical="center" shrinkToFit="1"/>
      <protection locked="0"/>
    </xf>
    <xf numFmtId="0" fontId="23" fillId="2" borderId="6" xfId="0" applyFont="1" applyFill="1" applyBorder="1" applyAlignment="1" applyProtection="1">
      <alignment horizontal="center" vertical="center" shrinkToFit="1"/>
      <protection locked="0"/>
    </xf>
    <xf numFmtId="0" fontId="32" fillId="2" borderId="6" xfId="2" applyFont="1" applyFill="1" applyBorder="1" applyAlignment="1" applyProtection="1">
      <alignment horizontal="center" vertical="center" shrinkToFit="1"/>
      <protection locked="0"/>
    </xf>
    <xf numFmtId="0" fontId="23" fillId="2" borderId="6" xfId="2" applyFont="1" applyFill="1" applyBorder="1" applyAlignment="1" applyProtection="1">
      <alignment horizontal="center" vertical="center" shrinkToFit="1"/>
      <protection locked="0"/>
    </xf>
    <xf numFmtId="0" fontId="8" fillId="3" borderId="0" xfId="0" applyFont="1" applyFill="1" applyAlignment="1" applyProtection="1">
      <alignment horizontal="center" vertical="center"/>
      <protection hidden="1"/>
    </xf>
    <xf numFmtId="0" fontId="20" fillId="0" borderId="4" xfId="2" applyFont="1" applyFill="1" applyBorder="1" applyAlignment="1" applyProtection="1">
      <alignment horizontal="center" vertical="center" shrinkToFit="1"/>
      <protection locked="0"/>
    </xf>
    <xf numFmtId="0" fontId="21" fillId="0" borderId="4" xfId="0" applyFont="1" applyBorder="1" applyAlignment="1">
      <alignment horizontal="center" vertical="center" shrinkToFit="1"/>
    </xf>
    <xf numFmtId="168" fontId="21" fillId="0" borderId="4" xfId="0" applyNumberFormat="1" applyFont="1" applyBorder="1" applyAlignment="1">
      <alignment horizontal="center" vertical="center" shrinkToFit="1"/>
    </xf>
    <xf numFmtId="168" fontId="21" fillId="0" borderId="5" xfId="0" applyNumberFormat="1" applyFont="1" applyBorder="1" applyAlignment="1">
      <alignment horizontal="center" vertical="center" shrinkToFit="1"/>
    </xf>
    <xf numFmtId="176" fontId="22" fillId="0" borderId="5" xfId="0" applyNumberFormat="1" applyFont="1" applyBorder="1" applyAlignment="1">
      <alignment horizontal="center" vertical="center" shrinkToFit="1"/>
    </xf>
    <xf numFmtId="169" fontId="21" fillId="0" borderId="5" xfId="0" applyNumberFormat="1" applyFont="1" applyBorder="1" applyAlignment="1">
      <alignment horizontal="center" vertical="center" shrinkToFit="1"/>
    </xf>
    <xf numFmtId="0" fontId="22" fillId="0" borderId="0" xfId="0" applyFont="1" applyAlignment="1">
      <alignment horizontal="center" vertical="center" shrinkToFit="1"/>
    </xf>
    <xf numFmtId="169" fontId="21" fillId="0" borderId="7" xfId="0" applyNumberFormat="1" applyFont="1" applyBorder="1" applyAlignment="1">
      <alignment horizontal="center" vertical="center" shrinkToFit="1"/>
    </xf>
    <xf numFmtId="180" fontId="22" fillId="0" borderId="4" xfId="0" applyNumberFormat="1" applyFont="1" applyBorder="1" applyAlignment="1">
      <alignment horizontal="center" vertical="center" shrinkToFit="1"/>
    </xf>
    <xf numFmtId="2" fontId="21" fillId="0" borderId="5" xfId="0" applyNumberFormat="1" applyFont="1" applyBorder="1" applyAlignment="1">
      <alignment horizontal="center" vertical="center" shrinkToFit="1"/>
    </xf>
    <xf numFmtId="2" fontId="22" fillId="0" borderId="0" xfId="0" applyNumberFormat="1" applyFont="1" applyAlignment="1">
      <alignment horizontal="center" vertical="center" shrinkToFit="1"/>
    </xf>
    <xf numFmtId="2" fontId="21" fillId="0" borderId="7" xfId="0" applyNumberFormat="1" applyFont="1" applyBorder="1" applyAlignment="1">
      <alignment horizontal="center" vertical="center" shrinkToFit="1"/>
    </xf>
    <xf numFmtId="176" fontId="22" fillId="0" borderId="4" xfId="0" applyNumberFormat="1" applyFont="1" applyBorder="1" applyAlignment="1">
      <alignment horizontal="center" vertical="center" shrinkToFit="1"/>
    </xf>
    <xf numFmtId="0" fontId="20" fillId="0" borderId="4" xfId="0" applyFont="1" applyBorder="1" applyAlignment="1" applyProtection="1">
      <alignment horizontal="center" vertical="center" shrinkToFit="1"/>
      <protection locked="0"/>
    </xf>
    <xf numFmtId="0" fontId="20" fillId="0" borderId="0" xfId="2" applyFont="1" applyFill="1" applyBorder="1" applyAlignment="1" applyProtection="1">
      <alignment horizontal="center" vertical="center" shrinkToFit="1"/>
      <protection locked="0"/>
    </xf>
    <xf numFmtId="0" fontId="28" fillId="0" borderId="8"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173" fontId="21" fillId="3" borderId="0" xfId="0" applyNumberFormat="1" applyFont="1" applyFill="1" applyAlignment="1">
      <alignment horizontal="center" vertical="center" shrinkToFit="1"/>
    </xf>
    <xf numFmtId="174" fontId="21" fillId="3" borderId="0" xfId="0" applyNumberFormat="1" applyFont="1" applyFill="1" applyAlignment="1">
      <alignment horizontal="center" vertical="center" shrinkToFit="1"/>
    </xf>
    <xf numFmtId="0" fontId="32" fillId="2" borderId="9" xfId="0"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168" fontId="21" fillId="0" borderId="2" xfId="0" applyNumberFormat="1" applyFont="1" applyBorder="1" applyAlignment="1">
      <alignment horizontal="center" vertical="center" shrinkToFit="1"/>
    </xf>
    <xf numFmtId="168" fontId="21" fillId="0" borderId="10" xfId="0" applyNumberFormat="1" applyFont="1" applyBorder="1" applyAlignment="1">
      <alignment horizontal="center" vertical="center" shrinkToFit="1"/>
    </xf>
    <xf numFmtId="176" fontId="22" fillId="0" borderId="10" xfId="0" applyNumberFormat="1" applyFont="1" applyBorder="1" applyAlignment="1">
      <alignment horizontal="center" vertical="center" shrinkToFit="1"/>
    </xf>
    <xf numFmtId="169" fontId="21" fillId="0" borderId="10" xfId="0" applyNumberFormat="1" applyFont="1" applyBorder="1" applyAlignment="1">
      <alignment horizontal="center" vertical="center" shrinkToFit="1"/>
    </xf>
    <xf numFmtId="0" fontId="22" fillId="0" borderId="11" xfId="0" applyFont="1" applyBorder="1" applyAlignment="1">
      <alignment horizontal="center" vertical="center" shrinkToFit="1"/>
    </xf>
    <xf numFmtId="169" fontId="21" fillId="0" borderId="12" xfId="0" applyNumberFormat="1" applyFont="1" applyBorder="1" applyAlignment="1">
      <alignment horizontal="center" vertical="center" shrinkToFit="1"/>
    </xf>
    <xf numFmtId="180" fontId="22" fillId="0" borderId="2" xfId="0" applyNumberFormat="1" applyFont="1" applyBorder="1" applyAlignment="1">
      <alignment horizontal="center" vertical="center" shrinkToFit="1"/>
    </xf>
    <xf numFmtId="2" fontId="21" fillId="0" borderId="10" xfId="0" applyNumberFormat="1" applyFont="1" applyBorder="1" applyAlignment="1">
      <alignment horizontal="center" vertical="center" shrinkToFit="1"/>
    </xf>
    <xf numFmtId="2" fontId="22" fillId="0" borderId="11" xfId="0" applyNumberFormat="1" applyFont="1" applyBorder="1" applyAlignment="1">
      <alignment horizontal="center" vertical="center" shrinkToFit="1"/>
    </xf>
    <xf numFmtId="2" fontId="21" fillId="0" borderId="12" xfId="0" applyNumberFormat="1" applyFont="1" applyBorder="1" applyAlignment="1">
      <alignment horizontal="center" vertical="center" shrinkToFit="1"/>
    </xf>
    <xf numFmtId="186" fontId="33" fillId="3" borderId="11" xfId="0" applyNumberFormat="1" applyFont="1" applyFill="1" applyBorder="1" applyAlignment="1">
      <alignment horizontal="center" vertical="center"/>
    </xf>
    <xf numFmtId="186" fontId="33" fillId="3" borderId="2" xfId="0" applyNumberFormat="1" applyFont="1" applyFill="1" applyBorder="1" applyAlignment="1">
      <alignment horizontal="center" vertical="center"/>
    </xf>
    <xf numFmtId="186" fontId="33" fillId="3" borderId="10" xfId="0" applyNumberFormat="1"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0" fillId="0" borderId="8" xfId="2" applyFont="1" applyFill="1" applyBorder="1" applyAlignment="1" applyProtection="1">
      <alignment horizontal="center" vertical="center"/>
      <protection locked="0"/>
    </xf>
    <xf numFmtId="198" fontId="5" fillId="3" borderId="0" xfId="0" applyNumberFormat="1" applyFont="1" applyFill="1" applyAlignment="1">
      <alignment horizontal="left" vertical="center" shrinkToFit="1"/>
    </xf>
    <xf numFmtId="0" fontId="0" fillId="0" borderId="0" xfId="0" applyAlignment="1">
      <alignment horizontal="center" vertical="center" wrapText="1"/>
    </xf>
    <xf numFmtId="0" fontId="20" fillId="0" borderId="4" xfId="0" applyFont="1" applyBorder="1" applyAlignment="1" applyProtection="1">
      <alignment horizontal="center" vertical="center"/>
      <protection locked="0"/>
    </xf>
    <xf numFmtId="169" fontId="21" fillId="0" borderId="0" xfId="0" applyNumberFormat="1" applyFont="1" applyAlignment="1">
      <alignment horizontal="center" vertical="center" shrinkToFit="1"/>
    </xf>
    <xf numFmtId="0" fontId="22" fillId="0" borderId="14" xfId="0" applyFont="1" applyBorder="1" applyAlignment="1">
      <alignment horizontal="center" vertical="center" wrapText="1" shrinkToFit="1"/>
    </xf>
    <xf numFmtId="0" fontId="0" fillId="0" borderId="0" xfId="0" applyAlignment="1">
      <alignment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0" fillId="3" borderId="0" xfId="0" applyFill="1" applyAlignment="1">
      <alignment vertical="center"/>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46" fillId="3" borderId="0" xfId="0" applyFont="1" applyFill="1" applyAlignment="1">
      <alignment horizontal="center" vertical="center" shrinkToFit="1"/>
    </xf>
    <xf numFmtId="0" fontId="0" fillId="4" borderId="0" xfId="0" applyFill="1" applyAlignment="1">
      <alignment vertical="center"/>
    </xf>
    <xf numFmtId="0" fontId="31" fillId="3" borderId="0" xfId="0" applyFont="1" applyFill="1" applyAlignment="1">
      <alignment horizontal="center" vertical="center" wrapText="1"/>
    </xf>
    <xf numFmtId="0" fontId="13" fillId="3" borderId="0" xfId="0" applyFont="1" applyFill="1" applyAlignment="1">
      <alignment horizontal="center" vertical="center" wrapText="1" shrinkToFit="1"/>
    </xf>
    <xf numFmtId="0" fontId="14" fillId="3" borderId="0" xfId="0" applyFont="1" applyFill="1" applyAlignment="1">
      <alignment horizontal="center" vertical="center" wrapText="1"/>
    </xf>
    <xf numFmtId="0" fontId="52" fillId="3" borderId="0" xfId="0" applyFont="1" applyFill="1" applyAlignment="1">
      <alignment horizontal="center" vertical="center" shrinkToFit="1"/>
    </xf>
    <xf numFmtId="0" fontId="0" fillId="3" borderId="15" xfId="0" applyFill="1" applyBorder="1" applyAlignment="1">
      <alignment horizontal="center" vertical="center"/>
    </xf>
    <xf numFmtId="185" fontId="7" fillId="3" borderId="0" xfId="0" applyNumberFormat="1" applyFont="1" applyFill="1" applyAlignment="1">
      <alignment horizontal="center" vertical="center" shrinkToFit="1"/>
    </xf>
    <xf numFmtId="172" fontId="21" fillId="3" borderId="0" xfId="0" applyNumberFormat="1" applyFont="1" applyFill="1" applyAlignment="1">
      <alignment horizontal="center" vertical="center" shrinkToFit="1"/>
    </xf>
    <xf numFmtId="193" fontId="21" fillId="3" borderId="0" xfId="0" applyNumberFormat="1" applyFont="1" applyFill="1" applyAlignment="1">
      <alignment horizontal="center" vertical="center" shrinkToFit="1"/>
    </xf>
    <xf numFmtId="0" fontId="0" fillId="0" borderId="0" xfId="0" applyAlignment="1">
      <alignment horizontal="justify" vertical="center"/>
    </xf>
    <xf numFmtId="194" fontId="21" fillId="3" borderId="0" xfId="0" applyNumberFormat="1" applyFont="1" applyFill="1" applyAlignment="1">
      <alignment horizontal="center" vertical="center" shrinkToFit="1"/>
    </xf>
    <xf numFmtId="2" fontId="20" fillId="3" borderId="0" xfId="0" applyNumberFormat="1" applyFont="1" applyFill="1" applyAlignment="1">
      <alignment horizontal="center" vertical="center" shrinkToFit="1"/>
    </xf>
    <xf numFmtId="178" fontId="20" fillId="3" borderId="0" xfId="0" applyNumberFormat="1" applyFont="1" applyFill="1" applyAlignment="1">
      <alignment horizontal="center" vertical="center" shrinkToFit="1"/>
    </xf>
    <xf numFmtId="182" fontId="20" fillId="3" borderId="0" xfId="0" applyNumberFormat="1" applyFont="1" applyFill="1" applyAlignment="1">
      <alignment horizontal="center" vertical="center" shrinkToFit="1"/>
    </xf>
    <xf numFmtId="181" fontId="30" fillId="3" borderId="0" xfId="0" applyNumberFormat="1" applyFont="1" applyFill="1" applyAlignment="1">
      <alignment horizontal="center" vertical="center" shrinkToFit="1"/>
    </xf>
    <xf numFmtId="170" fontId="21" fillId="3" borderId="0" xfId="0" applyNumberFormat="1" applyFont="1" applyFill="1" applyAlignment="1">
      <alignment horizontal="center" vertical="center" shrinkToFit="1"/>
    </xf>
    <xf numFmtId="182" fontId="21" fillId="3" borderId="0" xfId="0" applyNumberFormat="1" applyFont="1" applyFill="1" applyAlignment="1">
      <alignment horizontal="center" vertical="center" shrinkToFit="1"/>
    </xf>
    <xf numFmtId="0" fontId="21" fillId="3" borderId="0" xfId="0" applyFont="1" applyFill="1" applyAlignment="1">
      <alignment horizontal="center" vertical="center" shrinkToFit="1"/>
    </xf>
    <xf numFmtId="166" fontId="21" fillId="3" borderId="0" xfId="0" applyNumberFormat="1" applyFont="1" applyFill="1" applyAlignment="1">
      <alignment horizontal="center" vertical="center" shrinkToFit="1"/>
    </xf>
    <xf numFmtId="177" fontId="32" fillId="3" borderId="0" xfId="3" applyNumberFormat="1" applyFont="1" applyFill="1" applyBorder="1" applyAlignment="1" applyProtection="1">
      <alignment horizontal="center" vertical="center" shrinkToFit="1"/>
    </xf>
    <xf numFmtId="189" fontId="21" fillId="3" borderId="0" xfId="0" applyNumberFormat="1" applyFont="1" applyFill="1" applyAlignment="1">
      <alignment horizontal="center" vertical="center"/>
    </xf>
    <xf numFmtId="4" fontId="8" fillId="3" borderId="0" xfId="0" applyNumberFormat="1" applyFont="1" applyFill="1" applyAlignment="1">
      <alignment horizontal="center" vertical="center"/>
    </xf>
    <xf numFmtId="0" fontId="51" fillId="3" borderId="0" xfId="0" applyFont="1" applyFill="1" applyAlignment="1">
      <alignment horizontal="left" vertical="center" shrinkToFit="1"/>
    </xf>
    <xf numFmtId="9" fontId="32" fillId="3" borderId="16" xfId="0" applyNumberFormat="1" applyFont="1" applyFill="1" applyBorder="1" applyAlignment="1">
      <alignment horizontal="center" vertical="center" shrinkToFit="1"/>
    </xf>
    <xf numFmtId="0" fontId="41" fillId="3" borderId="0" xfId="0" applyFont="1" applyFill="1" applyAlignment="1">
      <alignment horizontal="center" vertical="center" shrinkToFit="1"/>
    </xf>
    <xf numFmtId="0" fontId="50" fillId="3" borderId="0" xfId="0" applyFont="1" applyFill="1" applyAlignment="1">
      <alignment horizontal="left" vertical="center" shrinkToFit="1"/>
    </xf>
    <xf numFmtId="0" fontId="23" fillId="3" borderId="0" xfId="0" applyFont="1" applyFill="1" applyAlignment="1">
      <alignment horizontal="left" vertical="center" shrinkToFit="1"/>
    </xf>
    <xf numFmtId="0" fontId="0" fillId="3" borderId="0" xfId="0" applyFill="1" applyAlignment="1">
      <alignment horizontal="left" vertical="center" shrinkToFit="1"/>
    </xf>
    <xf numFmtId="1" fontId="20" fillId="3" borderId="0" xfId="0" applyNumberFormat="1" applyFont="1" applyFill="1" applyAlignment="1">
      <alignment horizontal="center" vertical="center" shrinkToFit="1"/>
    </xf>
    <xf numFmtId="0" fontId="0" fillId="3" borderId="0" xfId="0" applyFill="1" applyAlignment="1">
      <alignment horizontal="center" vertical="center" shrinkToFit="1"/>
    </xf>
    <xf numFmtId="0" fontId="49" fillId="3" borderId="0" xfId="0" applyFont="1" applyFill="1" applyAlignment="1">
      <alignment horizontal="left" vertical="center" shrinkToFit="1"/>
    </xf>
    <xf numFmtId="0" fontId="15" fillId="3" borderId="0" xfId="0" applyFont="1" applyFill="1" applyAlignment="1">
      <alignment horizontal="justify" vertical="center" wrapText="1"/>
    </xf>
    <xf numFmtId="0" fontId="8" fillId="3" borderId="16" xfId="0" applyFont="1" applyFill="1" applyBorder="1" applyAlignment="1">
      <alignment horizontal="center" vertical="center"/>
    </xf>
    <xf numFmtId="0" fontId="53" fillId="3" borderId="0" xfId="0" applyFont="1" applyFill="1" applyAlignment="1">
      <alignment horizontal="left" vertical="center" shrinkToFit="1"/>
    </xf>
    <xf numFmtId="0" fontId="64" fillId="0" borderId="0" xfId="0" applyFont="1" applyAlignment="1">
      <alignment horizontal="center" vertical="center" shrinkToFit="1"/>
    </xf>
    <xf numFmtId="0" fontId="65" fillId="0" borderId="0" xfId="0" applyFont="1" applyAlignment="1">
      <alignment horizontal="center" vertical="center" shrinkToFit="1"/>
    </xf>
    <xf numFmtId="0" fontId="64" fillId="0" borderId="0" xfId="0" applyFont="1" applyAlignment="1">
      <alignment horizontal="right" vertical="center"/>
    </xf>
    <xf numFmtId="0" fontId="0" fillId="3" borderId="0" xfId="0" applyFill="1" applyAlignment="1">
      <alignment horizontal="center" vertical="center"/>
    </xf>
    <xf numFmtId="0" fontId="24" fillId="3" borderId="0" xfId="0" applyFont="1" applyFill="1" applyAlignment="1">
      <alignment horizontal="center" vertical="center"/>
    </xf>
    <xf numFmtId="178" fontId="24" fillId="3" borderId="0" xfId="0" applyNumberFormat="1" applyFont="1" applyFill="1" applyAlignment="1">
      <alignment horizontal="center" vertical="center"/>
    </xf>
    <xf numFmtId="178" fontId="0" fillId="3" borderId="0" xfId="0" applyNumberFormat="1" applyFill="1" applyAlignment="1">
      <alignment vertical="center"/>
    </xf>
    <xf numFmtId="0" fontId="31" fillId="3" borderId="0" xfId="0" applyFont="1" applyFill="1" applyAlignment="1">
      <alignment horizontal="center" vertical="center"/>
    </xf>
    <xf numFmtId="0" fontId="47" fillId="3" borderId="0" xfId="0" applyFont="1" applyFill="1" applyAlignment="1">
      <alignment horizontal="center" vertical="center"/>
    </xf>
    <xf numFmtId="196" fontId="39" fillId="3" borderId="0" xfId="0" applyNumberFormat="1" applyFont="1" applyFill="1" applyAlignment="1">
      <alignment horizontal="left" vertical="center"/>
    </xf>
    <xf numFmtId="197" fontId="48" fillId="3" borderId="0" xfId="0" applyNumberFormat="1" applyFont="1" applyFill="1" applyAlignment="1">
      <alignment horizontal="center" vertical="center" shrinkToFit="1"/>
    </xf>
    <xf numFmtId="0" fontId="31" fillId="3" borderId="0" xfId="0" applyFont="1" applyFill="1" applyAlignment="1">
      <alignment horizontal="left" vertical="center"/>
    </xf>
    <xf numFmtId="0" fontId="0" fillId="3" borderId="0" xfId="0" applyFill="1" applyAlignment="1">
      <alignment horizontal="justify" vertical="center" wrapText="1"/>
    </xf>
    <xf numFmtId="0" fontId="60" fillId="3" borderId="0" xfId="0" applyFont="1" applyFill="1" applyAlignment="1">
      <alignment horizontal="center" vertical="center"/>
    </xf>
    <xf numFmtId="0" fontId="60" fillId="0" borderId="0" xfId="0" applyFont="1" applyAlignment="1">
      <alignment vertical="center"/>
    </xf>
    <xf numFmtId="0" fontId="62" fillId="3" borderId="0" xfId="0" applyFont="1" applyFill="1" applyAlignment="1">
      <alignment horizontal="center" vertical="center"/>
    </xf>
    <xf numFmtId="0" fontId="63" fillId="3" borderId="0" xfId="0" applyFont="1" applyFill="1" applyAlignment="1">
      <alignment vertical="center"/>
    </xf>
    <xf numFmtId="0" fontId="63" fillId="0" borderId="0" xfId="0" applyFont="1" applyAlignment="1">
      <alignment vertical="center"/>
    </xf>
    <xf numFmtId="192" fontId="38" fillId="0" borderId="0" xfId="0" applyNumberFormat="1" applyFont="1" applyAlignment="1">
      <alignment horizontal="left" vertical="center"/>
    </xf>
    <xf numFmtId="0" fontId="0" fillId="0" borderId="0" xfId="0" applyAlignment="1">
      <alignment horizontal="justify" vertical="center" wrapText="1"/>
    </xf>
    <xf numFmtId="0" fontId="70" fillId="3" borderId="0" xfId="0" applyFont="1" applyFill="1" applyAlignment="1">
      <alignment horizontal="center" vertical="center"/>
    </xf>
    <xf numFmtId="195" fontId="40" fillId="3" borderId="0" xfId="0" applyNumberFormat="1" applyFont="1" applyFill="1" applyAlignment="1">
      <alignment horizontal="center" vertical="center" shrinkToFit="1"/>
    </xf>
    <xf numFmtId="0" fontId="40" fillId="3" borderId="0" xfId="0" applyFont="1" applyFill="1" applyAlignment="1">
      <alignment horizontal="justify" vertical="center"/>
    </xf>
    <xf numFmtId="0" fontId="40" fillId="3" borderId="0" xfId="0" applyFont="1" applyFill="1" applyAlignment="1">
      <alignment horizontal="justify" vertical="center" wrapText="1"/>
    </xf>
    <xf numFmtId="0" fontId="40" fillId="0" borderId="0" xfId="0" applyFont="1" applyAlignment="1">
      <alignment vertical="center"/>
    </xf>
    <xf numFmtId="0" fontId="20" fillId="5" borderId="17" xfId="2" applyFont="1" applyFill="1" applyBorder="1" applyAlignment="1" applyProtection="1">
      <alignment horizontal="center" vertical="center" wrapText="1"/>
    </xf>
    <xf numFmtId="0" fontId="15" fillId="3" borderId="0" xfId="0" applyFont="1" applyFill="1" applyAlignment="1">
      <alignment horizontal="center" vertical="center" shrinkToFit="1"/>
    </xf>
    <xf numFmtId="0" fontId="22" fillId="3" borderId="0" xfId="0" applyFont="1" applyFill="1" applyAlignment="1">
      <alignment horizontal="left" vertical="center" shrinkToFit="1"/>
    </xf>
    <xf numFmtId="0" fontId="21" fillId="3" borderId="0" xfId="0" applyFont="1" applyFill="1" applyAlignment="1">
      <alignment horizontal="center" vertical="center"/>
    </xf>
    <xf numFmtId="1" fontId="72" fillId="0" borderId="0" xfId="0" applyNumberFormat="1" applyFont="1" applyAlignment="1">
      <alignment horizontal="center" vertical="center" shrinkToFit="1"/>
    </xf>
    <xf numFmtId="178" fontId="73" fillId="0" borderId="0" xfId="0" applyNumberFormat="1" applyFont="1" applyAlignment="1">
      <alignment horizontal="center" vertical="center" shrinkToFit="1"/>
    </xf>
    <xf numFmtId="0" fontId="73" fillId="0" borderId="0" xfId="0" applyFont="1" applyAlignment="1">
      <alignment horizontal="center" vertical="center" shrinkToFit="1"/>
    </xf>
    <xf numFmtId="1" fontId="73" fillId="0" borderId="0" xfId="0" applyNumberFormat="1" applyFont="1" applyAlignment="1">
      <alignment horizontal="center" vertical="center" shrinkToFit="1"/>
    </xf>
    <xf numFmtId="0" fontId="0" fillId="0" borderId="0" xfId="0" applyAlignment="1">
      <alignment vertical="top"/>
    </xf>
    <xf numFmtId="9" fontId="32" fillId="3" borderId="0" xfId="0" applyNumberFormat="1" applyFont="1" applyFill="1" applyAlignment="1">
      <alignment horizontal="center" vertical="center" shrinkToFit="1"/>
    </xf>
    <xf numFmtId="0" fontId="37" fillId="3" borderId="0" xfId="2" applyFont="1" applyFill="1" applyBorder="1" applyAlignment="1" applyProtection="1">
      <alignment horizontal="center" vertical="center" shrinkToFit="1"/>
    </xf>
    <xf numFmtId="0" fontId="28" fillId="3" borderId="0" xfId="0" applyFont="1" applyFill="1" applyAlignment="1">
      <alignment horizontal="center" vertical="center" shrinkToFit="1"/>
    </xf>
    <xf numFmtId="0" fontId="19" fillId="0" borderId="3" xfId="0" applyFont="1" applyBorder="1" applyAlignment="1">
      <alignment horizontal="center" vertical="center" shrinkToFit="1"/>
    </xf>
    <xf numFmtId="219" fontId="0" fillId="0" borderId="0" xfId="0" applyNumberFormat="1" applyAlignment="1">
      <alignment vertical="center"/>
    </xf>
    <xf numFmtId="219" fontId="0" fillId="0" borderId="0" xfId="0" applyNumberFormat="1" applyAlignment="1">
      <alignment vertical="top"/>
    </xf>
    <xf numFmtId="219" fontId="0" fillId="0" borderId="0" xfId="0" applyNumberFormat="1" applyAlignment="1">
      <alignment vertical="center" shrinkToFit="1"/>
    </xf>
    <xf numFmtId="0" fontId="18" fillId="3" borderId="0" xfId="0" applyFont="1" applyFill="1" applyAlignment="1">
      <alignment horizontal="center" vertical="center"/>
    </xf>
    <xf numFmtId="2" fontId="73" fillId="3" borderId="0" xfId="0" applyNumberFormat="1" applyFont="1" applyFill="1" applyAlignment="1">
      <alignment horizontal="center" vertical="center" shrinkToFit="1"/>
    </xf>
    <xf numFmtId="219" fontId="75" fillId="3" borderId="3" xfId="0" applyNumberFormat="1" applyFont="1" applyFill="1" applyBorder="1" applyAlignment="1">
      <alignment horizontal="center" vertical="center"/>
    </xf>
    <xf numFmtId="0" fontId="21" fillId="0" borderId="21" xfId="0"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3" borderId="0" xfId="0" applyFill="1" applyAlignment="1">
      <alignment horizontal="right" vertical="center"/>
    </xf>
    <xf numFmtId="0" fontId="0" fillId="3" borderId="11" xfId="0" applyFill="1" applyBorder="1" applyAlignment="1">
      <alignment vertical="center"/>
    </xf>
    <xf numFmtId="0" fontId="19" fillId="0" borderId="0" xfId="0" applyFont="1" applyAlignment="1">
      <alignment horizontal="center" vertical="center"/>
    </xf>
    <xf numFmtId="0" fontId="61" fillId="0" borderId="0" xfId="0" quotePrefix="1" applyFont="1" applyAlignment="1">
      <alignment horizontal="left" vertical="center"/>
    </xf>
    <xf numFmtId="0" fontId="10" fillId="0" borderId="0" xfId="0" applyFont="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23" fillId="2" borderId="15" xfId="0" applyFont="1" applyFill="1" applyBorder="1" applyAlignment="1">
      <alignment horizontal="center" vertical="center" shrinkToFit="1"/>
    </xf>
    <xf numFmtId="216" fontId="64" fillId="0" borderId="0" xfId="0" applyNumberFormat="1" applyFont="1" applyAlignment="1">
      <alignment horizontal="center" vertical="center" shrinkToFit="1"/>
    </xf>
    <xf numFmtId="0" fontId="74" fillId="3" borderId="0" xfId="0" applyFont="1" applyFill="1" applyAlignment="1">
      <alignment horizontal="justify" vertical="center"/>
    </xf>
    <xf numFmtId="0" fontId="43" fillId="3" borderId="0" xfId="0" applyFont="1" applyFill="1" applyAlignment="1">
      <alignment horizontal="justify" vertical="top"/>
    </xf>
    <xf numFmtId="0" fontId="67" fillId="3" borderId="16" xfId="0" applyFont="1" applyFill="1" applyBorder="1" applyAlignment="1">
      <alignment horizontal="right" vertical="center" shrinkToFit="1"/>
    </xf>
    <xf numFmtId="215" fontId="23" fillId="3" borderId="0" xfId="0" applyNumberFormat="1" applyFont="1" applyFill="1" applyAlignment="1">
      <alignment horizontal="left" vertical="center"/>
    </xf>
    <xf numFmtId="0" fontId="0" fillId="0" borderId="26" xfId="0" applyBorder="1"/>
    <xf numFmtId="0" fontId="0" fillId="0" borderId="28" xfId="0" applyBorder="1"/>
    <xf numFmtId="0" fontId="9" fillId="3" borderId="0" xfId="2" applyFont="1" applyFill="1" applyAlignment="1" applyProtection="1">
      <alignment vertical="center"/>
    </xf>
    <xf numFmtId="0" fontId="0" fillId="9" borderId="17" xfId="0" applyFill="1" applyBorder="1" applyAlignment="1">
      <alignment horizontal="center" vertical="center"/>
    </xf>
    <xf numFmtId="0" fontId="0" fillId="9" borderId="16" xfId="0" applyFill="1" applyBorder="1" applyAlignment="1">
      <alignment horizontal="center" vertical="center"/>
    </xf>
    <xf numFmtId="0" fontId="0" fillId="9" borderId="29" xfId="0" applyFill="1" applyBorder="1" applyAlignment="1">
      <alignment horizontal="center" vertical="center"/>
    </xf>
    <xf numFmtId="0" fontId="0" fillId="9" borderId="30" xfId="0" applyFill="1" applyBorder="1" applyAlignment="1">
      <alignment horizontal="center" vertical="center"/>
    </xf>
    <xf numFmtId="0" fontId="0" fillId="9" borderId="31" xfId="0" applyFill="1" applyBorder="1" applyAlignment="1">
      <alignment horizontal="center" vertical="center"/>
    </xf>
    <xf numFmtId="0" fontId="0" fillId="9" borderId="3" xfId="0" applyFill="1" applyBorder="1" applyAlignment="1">
      <alignment horizontal="center" vertical="center"/>
    </xf>
    <xf numFmtId="0" fontId="0" fillId="9" borderId="24" xfId="0" applyFill="1" applyBorder="1" applyAlignment="1">
      <alignment horizontal="center" vertical="center"/>
    </xf>
    <xf numFmtId="0" fontId="0" fillId="9" borderId="0" xfId="0" applyFill="1" applyAlignment="1">
      <alignment horizontal="center" vertical="center"/>
    </xf>
    <xf numFmtId="0" fontId="0" fillId="9" borderId="15" xfId="0" applyFill="1" applyBorder="1" applyAlignment="1">
      <alignment horizontal="center" vertical="center"/>
    </xf>
    <xf numFmtId="0" fontId="8" fillId="9" borderId="3" xfId="0" applyFont="1" applyFill="1" applyBorder="1" applyAlignment="1">
      <alignment horizontal="center" vertical="center"/>
    </xf>
    <xf numFmtId="0" fontId="0" fillId="3" borderId="32" xfId="0" applyFill="1" applyBorder="1" applyAlignment="1">
      <alignment vertical="center"/>
    </xf>
    <xf numFmtId="0" fontId="22" fillId="0" borderId="21" xfId="0" applyFont="1" applyBorder="1" applyAlignment="1">
      <alignment horizontal="center" vertical="center"/>
    </xf>
    <xf numFmtId="0" fontId="22" fillId="0" borderId="14" xfId="0" applyFont="1" applyBorder="1" applyAlignment="1">
      <alignment horizontal="center" vertical="center"/>
    </xf>
    <xf numFmtId="0" fontId="28" fillId="0" borderId="0" xfId="0" applyFont="1" applyAlignment="1">
      <alignment horizontal="center" vertical="center"/>
    </xf>
    <xf numFmtId="0" fontId="20" fillId="0" borderId="0" xfId="2" applyFont="1" applyAlignment="1" applyProtection="1">
      <alignment horizontal="center" vertical="center"/>
    </xf>
    <xf numFmtId="0" fontId="15" fillId="0" borderId="14" xfId="0" applyFont="1" applyBorder="1" applyAlignment="1">
      <alignment horizontal="center" vertical="center"/>
    </xf>
    <xf numFmtId="0" fontId="20" fillId="0" borderId="4" xfId="2" quotePrefix="1" applyFont="1" applyBorder="1" applyAlignment="1" applyProtection="1">
      <alignment horizontal="center" vertical="center"/>
    </xf>
    <xf numFmtId="0" fontId="22" fillId="0" borderId="22" xfId="0" applyFont="1" applyBorder="1" applyAlignment="1">
      <alignment horizontal="center" vertical="center"/>
    </xf>
    <xf numFmtId="0" fontId="11" fillId="0" borderId="0" xfId="0" applyFont="1" applyAlignment="1">
      <alignment horizontal="center" vertical="center"/>
    </xf>
    <xf numFmtId="186" fontId="33" fillId="3" borderId="23" xfId="0" applyNumberFormat="1" applyFont="1" applyFill="1" applyBorder="1" applyAlignment="1">
      <alignment horizontal="center" vertical="center"/>
    </xf>
    <xf numFmtId="3" fontId="33" fillId="3" borderId="7" xfId="0" applyNumberFormat="1" applyFont="1" applyFill="1" applyBorder="1" applyAlignment="1">
      <alignment horizontal="center" vertical="center"/>
    </xf>
    <xf numFmtId="186" fontId="33" fillId="3" borderId="33" xfId="0" applyNumberFormat="1" applyFont="1" applyFill="1" applyBorder="1" applyAlignment="1">
      <alignment horizontal="center" vertical="center"/>
    </xf>
    <xf numFmtId="3" fontId="33" fillId="3" borderId="12" xfId="0" applyNumberFormat="1" applyFont="1" applyFill="1" applyBorder="1" applyAlignment="1">
      <alignment horizontal="center" vertical="center"/>
    </xf>
    <xf numFmtId="0" fontId="21" fillId="0" borderId="0" xfId="0" applyFont="1" applyAlignment="1">
      <alignment horizontal="center" vertical="center"/>
    </xf>
    <xf numFmtId="204" fontId="36" fillId="0" borderId="0" xfId="0" applyNumberFormat="1" applyFont="1" applyAlignment="1">
      <alignment horizontal="center" vertical="center"/>
    </xf>
    <xf numFmtId="0" fontId="72" fillId="3" borderId="34" xfId="0" applyFont="1" applyFill="1" applyBorder="1" applyAlignment="1">
      <alignment horizontal="center" vertical="center" shrinkToFit="1"/>
    </xf>
    <xf numFmtId="0" fontId="28" fillId="3" borderId="8" xfId="0" quotePrefix="1" applyFont="1" applyFill="1" applyBorder="1" applyAlignment="1">
      <alignment horizontal="center" wrapText="1"/>
    </xf>
    <xf numFmtId="0" fontId="39" fillId="3" borderId="35" xfId="0" applyFont="1" applyFill="1" applyBorder="1" applyAlignment="1">
      <alignment horizontal="left" vertical="center"/>
    </xf>
    <xf numFmtId="0" fontId="22" fillId="0" borderId="0" xfId="0" applyFont="1"/>
    <xf numFmtId="0" fontId="39" fillId="3" borderId="23" xfId="0" applyFont="1" applyFill="1" applyBorder="1"/>
    <xf numFmtId="0" fontId="39" fillId="3" borderId="23" xfId="0" applyFont="1" applyFill="1" applyBorder="1" applyAlignment="1">
      <alignment horizontal="left" vertical="center"/>
    </xf>
    <xf numFmtId="0" fontId="28" fillId="3" borderId="23" xfId="0" applyFont="1" applyFill="1" applyBorder="1" applyAlignment="1">
      <alignment horizontal="center" vertical="center"/>
    </xf>
    <xf numFmtId="0" fontId="28" fillId="3" borderId="0" xfId="0" applyFont="1" applyFill="1" applyAlignment="1">
      <alignment horizontal="center" vertical="center"/>
    </xf>
    <xf numFmtId="0" fontId="21" fillId="0" borderId="0" xfId="0" applyFont="1"/>
    <xf numFmtId="0" fontId="39" fillId="3" borderId="8" xfId="0" applyFont="1" applyFill="1" applyBorder="1"/>
    <xf numFmtId="0" fontId="22" fillId="3" borderId="0" xfId="0" applyFont="1" applyFill="1" applyAlignment="1">
      <alignment horizontal="left"/>
    </xf>
    <xf numFmtId="0" fontId="28" fillId="3" borderId="0" xfId="0" applyFont="1" applyFill="1" applyAlignment="1">
      <alignment vertical="center"/>
    </xf>
    <xf numFmtId="0" fontId="37" fillId="3" borderId="0" xfId="0" quotePrefix="1" applyFont="1" applyFill="1" applyAlignment="1">
      <alignment horizontal="left" vertical="center"/>
    </xf>
    <xf numFmtId="0" fontId="22" fillId="0" borderId="0" xfId="0" applyFont="1" applyAlignment="1">
      <alignment horizontal="justify" vertical="center"/>
    </xf>
    <xf numFmtId="0" fontId="91" fillId="3" borderId="8" xfId="0" quotePrefix="1" applyFont="1" applyFill="1" applyBorder="1" applyAlignment="1">
      <alignment horizontal="center" vertical="center" wrapText="1"/>
    </xf>
    <xf numFmtId="0" fontId="22" fillId="0" borderId="0" xfId="0" applyFont="1" applyAlignment="1">
      <alignment vertical="center"/>
    </xf>
    <xf numFmtId="0" fontId="22" fillId="3" borderId="8" xfId="0" applyFont="1" applyFill="1" applyBorder="1" applyAlignment="1">
      <alignment horizontal="justify"/>
    </xf>
    <xf numFmtId="0" fontId="22" fillId="0" borderId="0" xfId="0" applyFont="1" applyAlignment="1">
      <alignment horizontal="justify"/>
    </xf>
    <xf numFmtId="0" fontId="22" fillId="3" borderId="8" xfId="0" applyFont="1" applyFill="1" applyBorder="1" applyAlignment="1">
      <alignment horizontal="justify" vertical="top"/>
    </xf>
    <xf numFmtId="0" fontId="22" fillId="0" borderId="0" xfId="0" applyFont="1" applyAlignment="1">
      <alignment horizontal="justify" vertical="top"/>
    </xf>
    <xf numFmtId="253" fontId="22" fillId="0" borderId="0" xfId="0" applyNumberFormat="1" applyFont="1"/>
    <xf numFmtId="0" fontId="22" fillId="0" borderId="0" xfId="0" applyFont="1" applyAlignment="1">
      <alignment horizontal="left"/>
    </xf>
    <xf numFmtId="208" fontId="120" fillId="0" borderId="19" xfId="0" applyNumberFormat="1" applyFont="1" applyBorder="1" applyAlignment="1">
      <alignment horizontal="center" vertical="center" shrinkToFit="1"/>
    </xf>
    <xf numFmtId="211" fontId="120" fillId="0" borderId="39" xfId="0" applyNumberFormat="1" applyFont="1" applyBorder="1" applyAlignment="1">
      <alignment horizontal="center" vertical="center" shrinkToFit="1"/>
    </xf>
    <xf numFmtId="175" fontId="121" fillId="0" borderId="50" xfId="0" applyNumberFormat="1" applyFont="1" applyBorder="1" applyAlignment="1" applyProtection="1">
      <alignment horizontal="center" vertical="center" shrinkToFit="1"/>
      <protection locked="0"/>
    </xf>
    <xf numFmtId="175" fontId="122" fillId="0" borderId="51" xfId="0" applyNumberFormat="1" applyFont="1" applyBorder="1" applyAlignment="1">
      <alignment horizontal="center" vertical="center" shrinkToFit="1"/>
    </xf>
    <xf numFmtId="0" fontId="123" fillId="5" borderId="37" xfId="0" applyFont="1" applyFill="1" applyBorder="1" applyAlignment="1">
      <alignment horizontal="center" vertical="center" shrinkToFit="1"/>
    </xf>
    <xf numFmtId="0" fontId="120" fillId="3" borderId="0" xfId="0" applyFont="1" applyFill="1" applyAlignment="1">
      <alignment vertical="center"/>
    </xf>
    <xf numFmtId="0" fontId="125" fillId="3" borderId="0" xfId="0" applyFont="1" applyFill="1" applyAlignment="1">
      <alignment horizontal="center" vertical="center" wrapText="1"/>
    </xf>
    <xf numFmtId="253" fontId="125" fillId="3" borderId="0" xfId="0" applyNumberFormat="1" applyFont="1" applyFill="1" applyAlignment="1">
      <alignment horizontal="center" vertical="center" wrapText="1"/>
    </xf>
    <xf numFmtId="0" fontId="120" fillId="3" borderId="0" xfId="0" applyFont="1" applyFill="1" applyAlignment="1">
      <alignment horizontal="left" shrinkToFit="1"/>
    </xf>
    <xf numFmtId="248" fontId="122" fillId="9" borderId="53" xfId="0" applyNumberFormat="1" applyFont="1" applyFill="1" applyBorder="1" applyAlignment="1">
      <alignment horizontal="center" vertical="center" shrinkToFit="1"/>
    </xf>
    <xf numFmtId="231" fontId="121" fillId="0" borderId="54" xfId="0" applyNumberFormat="1" applyFont="1" applyBorder="1" applyAlignment="1" applyProtection="1">
      <alignment horizontal="center" vertical="center"/>
      <protection locked="0"/>
    </xf>
    <xf numFmtId="232" fontId="121" fillId="0" borderId="54" xfId="0" applyNumberFormat="1" applyFont="1" applyBorder="1" applyAlignment="1" applyProtection="1">
      <alignment horizontal="center" vertical="center"/>
      <protection locked="0"/>
    </xf>
    <xf numFmtId="0" fontId="122" fillId="3" borderId="23" xfId="0" quotePrefix="1" applyFont="1" applyFill="1" applyBorder="1" applyAlignment="1" applyProtection="1">
      <alignment horizontal="right"/>
      <protection locked="0"/>
    </xf>
    <xf numFmtId="0" fontId="124" fillId="9" borderId="0" xfId="0" applyFont="1" applyFill="1" applyAlignment="1">
      <alignment horizontal="right"/>
    </xf>
    <xf numFmtId="0" fontId="120" fillId="3" borderId="0" xfId="0" applyFont="1" applyFill="1" applyAlignment="1">
      <alignment horizontal="left" vertical="center"/>
    </xf>
    <xf numFmtId="249" fontId="122" fillId="9" borderId="55" xfId="0" applyNumberFormat="1" applyFont="1" applyFill="1" applyBorder="1" applyAlignment="1">
      <alignment horizontal="center" vertical="center" shrinkToFit="1"/>
    </xf>
    <xf numFmtId="0" fontId="122" fillId="3" borderId="23" xfId="0" quotePrefix="1" applyFont="1" applyFill="1" applyBorder="1" applyAlignment="1">
      <alignment horizontal="left" vertical="top"/>
    </xf>
    <xf numFmtId="0" fontId="122" fillId="9" borderId="0" xfId="0" applyFont="1" applyFill="1" applyAlignment="1">
      <alignment horizontal="justify" vertical="top"/>
    </xf>
    <xf numFmtId="230" fontId="118" fillId="9" borderId="56" xfId="0" applyNumberFormat="1" applyFont="1" applyFill="1" applyBorder="1" applyAlignment="1">
      <alignment horizontal="center" vertical="center"/>
    </xf>
    <xf numFmtId="0" fontId="122" fillId="3" borderId="0" xfId="0" quotePrefix="1" applyFont="1" applyFill="1" applyAlignment="1">
      <alignment horizontal="center" vertical="top"/>
    </xf>
    <xf numFmtId="0" fontId="120" fillId="3" borderId="0" xfId="0" applyFont="1" applyFill="1" applyAlignment="1">
      <alignment horizontal="center" vertical="center"/>
    </xf>
    <xf numFmtId="253" fontId="120" fillId="3" borderId="0" xfId="0" applyNumberFormat="1" applyFont="1" applyFill="1" applyAlignment="1">
      <alignment horizontal="center" vertical="center"/>
    </xf>
    <xf numFmtId="0" fontId="128" fillId="0" borderId="54" xfId="0" applyFont="1" applyBorder="1" applyAlignment="1" applyProtection="1">
      <alignment horizontal="center" vertical="center"/>
      <protection locked="0"/>
    </xf>
    <xf numFmtId="252" fontId="128" fillId="0" borderId="41" xfId="0" applyNumberFormat="1" applyFont="1" applyBorder="1" applyAlignment="1" applyProtection="1">
      <alignment horizontal="center" vertical="center"/>
      <protection locked="0"/>
    </xf>
    <xf numFmtId="0" fontId="129" fillId="3" borderId="0" xfId="0" applyFont="1" applyFill="1" applyAlignment="1" applyProtection="1">
      <alignment horizontal="justify"/>
      <protection locked="0"/>
    </xf>
    <xf numFmtId="231" fontId="121" fillId="0" borderId="54" xfId="0" applyNumberFormat="1" applyFont="1" applyBorder="1" applyAlignment="1" applyProtection="1">
      <alignment horizontal="center" vertical="center" shrinkToFit="1"/>
      <protection locked="0"/>
    </xf>
    <xf numFmtId="0" fontId="124" fillId="9" borderId="0" xfId="0" applyFont="1" applyFill="1" applyAlignment="1">
      <alignment horizontal="left" vertical="center"/>
    </xf>
    <xf numFmtId="0" fontId="122" fillId="3" borderId="0" xfId="0" quotePrefix="1" applyFont="1" applyFill="1" applyAlignment="1">
      <alignment horizontal="left" vertical="top" indent="1"/>
    </xf>
    <xf numFmtId="0" fontId="124" fillId="3" borderId="0" xfId="0" applyFont="1" applyFill="1" applyAlignment="1">
      <alignment horizontal="left" vertical="center" indent="2"/>
    </xf>
    <xf numFmtId="0" fontId="121" fillId="3" borderId="0" xfId="2" quotePrefix="1" applyFont="1" applyFill="1" applyBorder="1" applyAlignment="1" applyProtection="1">
      <alignment horizontal="left" vertical="top"/>
    </xf>
    <xf numFmtId="0" fontId="121" fillId="3" borderId="0" xfId="2" applyFont="1" applyFill="1" applyBorder="1" applyAlignment="1" applyProtection="1">
      <alignment horizontal="left" vertical="center"/>
    </xf>
    <xf numFmtId="253" fontId="121" fillId="3" borderId="0" xfId="2" applyNumberFormat="1" applyFont="1" applyFill="1" applyBorder="1" applyAlignment="1" applyProtection="1">
      <alignment horizontal="left" vertical="center"/>
    </xf>
    <xf numFmtId="0" fontId="124" fillId="3" borderId="0" xfId="0" applyFont="1" applyFill="1" applyAlignment="1">
      <alignment horizontal="left" vertical="center"/>
    </xf>
    <xf numFmtId="0" fontId="130" fillId="3" borderId="0" xfId="0" applyFont="1" applyFill="1"/>
    <xf numFmtId="0" fontId="130" fillId="3" borderId="0" xfId="0" applyFont="1" applyFill="1" applyAlignment="1">
      <alignment horizontal="left"/>
    </xf>
    <xf numFmtId="249" fontId="120" fillId="9" borderId="21" xfId="0" applyNumberFormat="1" applyFont="1" applyFill="1" applyBorder="1" applyAlignment="1">
      <alignment horizontal="center" vertical="center" shrinkToFit="1"/>
    </xf>
    <xf numFmtId="0" fontId="124" fillId="11" borderId="0" xfId="0" applyFont="1" applyFill="1" applyAlignment="1" applyProtection="1">
      <alignment horizontal="center" vertical="center"/>
      <protection locked="0"/>
    </xf>
    <xf numFmtId="225" fontId="122" fillId="3" borderId="40" xfId="0" quotePrefix="1" applyNumberFormat="1" applyFont="1" applyFill="1" applyBorder="1" applyAlignment="1" applyProtection="1">
      <alignment horizontal="right" vertical="center" shrinkToFit="1"/>
      <protection locked="0"/>
    </xf>
    <xf numFmtId="225" fontId="122" fillId="11" borderId="41" xfId="0" applyNumberFormat="1" applyFont="1" applyFill="1" applyBorder="1" applyAlignment="1">
      <alignment horizontal="center" vertical="center" shrinkToFit="1"/>
    </xf>
    <xf numFmtId="214" fontId="118" fillId="11" borderId="59" xfId="0" applyNumberFormat="1" applyFont="1" applyFill="1" applyBorder="1" applyAlignment="1">
      <alignment horizontal="center" vertical="center"/>
    </xf>
    <xf numFmtId="247" fontId="122" fillId="0" borderId="61" xfId="0" quotePrefix="1" applyNumberFormat="1" applyFont="1" applyBorder="1" applyAlignment="1">
      <alignment horizontal="center" vertical="center" shrinkToFit="1"/>
    </xf>
    <xf numFmtId="193" fontId="118" fillId="11" borderId="13" xfId="0" applyNumberFormat="1" applyFont="1" applyFill="1" applyBorder="1" applyAlignment="1">
      <alignment horizontal="center" vertical="center" shrinkToFit="1"/>
    </xf>
    <xf numFmtId="0" fontId="124" fillId="3" borderId="8" xfId="0" applyFont="1" applyFill="1" applyBorder="1" applyAlignment="1">
      <alignment horizontal="justify" vertical="top"/>
    </xf>
    <xf numFmtId="0" fontId="124" fillId="3" borderId="8" xfId="0" applyFont="1" applyFill="1" applyBorder="1" applyAlignment="1">
      <alignment horizontal="justify" vertical="center" wrapText="1"/>
    </xf>
    <xf numFmtId="0" fontId="122" fillId="9" borderId="0" xfId="0" applyFont="1" applyFill="1"/>
    <xf numFmtId="0" fontId="122" fillId="3" borderId="8" xfId="0" applyFont="1" applyFill="1" applyBorder="1" applyAlignment="1">
      <alignment horizontal="justify" vertical="top"/>
    </xf>
    <xf numFmtId="230" fontId="121" fillId="0" borderId="62" xfId="0" applyNumberFormat="1" applyFont="1" applyBorder="1" applyAlignment="1" applyProtection="1">
      <alignment horizontal="center" vertical="center"/>
      <protection locked="0"/>
    </xf>
    <xf numFmtId="230" fontId="121" fillId="0" borderId="63" xfId="0" applyNumberFormat="1" applyFont="1" applyBorder="1" applyAlignment="1" applyProtection="1">
      <alignment horizontal="center" vertical="center"/>
      <protection locked="0"/>
    </xf>
    <xf numFmtId="0" fontId="124" fillId="3" borderId="11" xfId="0" applyFont="1" applyFill="1" applyBorder="1" applyAlignment="1">
      <alignment horizontal="left" vertical="center"/>
    </xf>
    <xf numFmtId="0" fontId="124" fillId="11" borderId="11" xfId="0" applyFont="1" applyFill="1" applyBorder="1"/>
    <xf numFmtId="0" fontId="124" fillId="11" borderId="0" xfId="0" applyFont="1" applyFill="1"/>
    <xf numFmtId="253" fontId="124" fillId="11" borderId="0" xfId="0" applyNumberFormat="1" applyFont="1" applyFill="1"/>
    <xf numFmtId="0" fontId="124" fillId="11" borderId="0" xfId="0" applyFont="1" applyFill="1" applyAlignment="1">
      <alignment horizontal="left"/>
    </xf>
    <xf numFmtId="0" fontId="124" fillId="11" borderId="8" xfId="0" applyFont="1" applyFill="1" applyBorder="1"/>
    <xf numFmtId="0" fontId="124" fillId="11" borderId="8" xfId="0" applyFont="1" applyFill="1" applyBorder="1" applyAlignment="1">
      <alignment horizontal="left" vertical="center"/>
    </xf>
    <xf numFmtId="0" fontId="124" fillId="9" borderId="0" xfId="0" applyFont="1" applyFill="1" applyAlignment="1">
      <alignment horizontal="justify" vertical="center" wrapText="1"/>
    </xf>
    <xf numFmtId="0" fontId="124" fillId="10" borderId="0" xfId="0" applyFont="1" applyFill="1" applyAlignment="1">
      <alignment horizontal="justify" vertical="center"/>
    </xf>
    <xf numFmtId="253" fontId="124" fillId="10" borderId="0" xfId="0" applyNumberFormat="1" applyFont="1" applyFill="1" applyAlignment="1">
      <alignment horizontal="justify" vertical="center"/>
    </xf>
    <xf numFmtId="0" fontId="130" fillId="3" borderId="23" xfId="0" applyFont="1" applyFill="1" applyBorder="1" applyAlignment="1">
      <alignment horizontal="left" vertical="center"/>
    </xf>
    <xf numFmtId="0" fontId="120" fillId="3" borderId="23" xfId="0" applyFont="1" applyFill="1" applyBorder="1" applyAlignment="1">
      <alignment horizontal="center" vertical="center"/>
    </xf>
    <xf numFmtId="0" fontId="120" fillId="3" borderId="8" xfId="0" applyFont="1" applyFill="1" applyBorder="1"/>
    <xf numFmtId="0" fontId="132" fillId="3" borderId="0" xfId="2" applyFont="1" applyFill="1" applyBorder="1" applyAlignment="1" applyProtection="1">
      <alignment horizontal="center" vertical="center"/>
    </xf>
    <xf numFmtId="0" fontId="132" fillId="3" borderId="8" xfId="2" applyFont="1" applyFill="1" applyBorder="1" applyAlignment="1" applyProtection="1">
      <alignment horizontal="center" vertical="center"/>
    </xf>
    <xf numFmtId="0" fontId="121" fillId="3" borderId="8" xfId="2" applyFont="1" applyFill="1" applyBorder="1" applyAlignment="1" applyProtection="1">
      <alignment horizontal="center" vertical="center"/>
    </xf>
    <xf numFmtId="0" fontId="120" fillId="3" borderId="8" xfId="0" applyFont="1" applyFill="1" applyBorder="1" applyAlignment="1">
      <alignment horizontal="center" vertical="center"/>
    </xf>
    <xf numFmtId="213" fontId="121" fillId="0" borderId="68" xfId="0" applyNumberFormat="1" applyFont="1" applyBorder="1" applyAlignment="1" applyProtection="1">
      <alignment horizontal="center" vertical="center" shrinkToFit="1"/>
      <protection locked="0"/>
    </xf>
    <xf numFmtId="0" fontId="130" fillId="3" borderId="0" xfId="0" applyFont="1" applyFill="1" applyAlignment="1">
      <alignment vertical="center"/>
    </xf>
    <xf numFmtId="0" fontId="130" fillId="3" borderId="0" xfId="0" applyFont="1" applyFill="1" applyAlignment="1">
      <alignment horizontal="left" vertical="center"/>
    </xf>
    <xf numFmtId="0" fontId="130" fillId="3" borderId="8" xfId="0" applyFont="1" applyFill="1" applyBorder="1"/>
    <xf numFmtId="213" fontId="120" fillId="3" borderId="60" xfId="0" applyNumberFormat="1" applyFont="1" applyFill="1" applyBorder="1" applyAlignment="1">
      <alignment horizontal="center" vertical="center" wrapText="1"/>
    </xf>
    <xf numFmtId="0" fontId="134" fillId="3" borderId="0" xfId="0" applyFont="1" applyFill="1" applyAlignment="1">
      <alignment horizontal="center" vertical="center"/>
    </xf>
    <xf numFmtId="184" fontId="122" fillId="3" borderId="0" xfId="0" applyNumberFormat="1" applyFont="1" applyFill="1" applyAlignment="1">
      <alignment horizontal="center" vertical="center" shrinkToFit="1"/>
    </xf>
    <xf numFmtId="0" fontId="136" fillId="3" borderId="0" xfId="0" applyFont="1" applyFill="1" applyAlignment="1">
      <alignment horizontal="justify" vertical="center" wrapText="1"/>
    </xf>
    <xf numFmtId="187" fontId="123" fillId="2" borderId="31" xfId="2" applyNumberFormat="1" applyFont="1" applyFill="1" applyBorder="1" applyAlignment="1" applyProtection="1">
      <alignment horizontal="center" vertical="center"/>
    </xf>
    <xf numFmtId="0" fontId="137" fillId="2" borderId="34" xfId="2" applyFont="1" applyFill="1" applyBorder="1" applyAlignment="1" applyProtection="1">
      <alignment horizontal="center" vertical="center"/>
    </xf>
    <xf numFmtId="187" fontId="123" fillId="2" borderId="27" xfId="2" applyNumberFormat="1" applyFont="1" applyFill="1" applyBorder="1" applyAlignment="1" applyProtection="1">
      <alignment horizontal="center" vertical="center"/>
    </xf>
    <xf numFmtId="0" fontId="138" fillId="0" borderId="36" xfId="2" applyFont="1" applyFill="1" applyBorder="1" applyAlignment="1" applyProtection="1">
      <alignment horizontal="center" vertical="center"/>
      <protection locked="0"/>
    </xf>
    <xf numFmtId="179" fontId="138" fillId="0" borderId="1" xfId="2" applyNumberFormat="1" applyFont="1" applyFill="1" applyBorder="1" applyAlignment="1" applyProtection="1">
      <alignment horizontal="center" vertical="center"/>
      <protection locked="0"/>
    </xf>
    <xf numFmtId="179" fontId="138" fillId="0" borderId="71" xfId="2" applyNumberFormat="1" applyFont="1" applyFill="1" applyBorder="1" applyAlignment="1" applyProtection="1">
      <alignment horizontal="center" vertical="center"/>
      <protection locked="0"/>
    </xf>
    <xf numFmtId="179" fontId="138" fillId="0" borderId="72" xfId="2" applyNumberFormat="1" applyFont="1" applyFill="1" applyBorder="1" applyAlignment="1" applyProtection="1">
      <alignment horizontal="center" vertical="center"/>
      <protection locked="0"/>
    </xf>
    <xf numFmtId="179" fontId="138" fillId="0" borderId="69" xfId="2" applyNumberFormat="1" applyFont="1" applyFill="1" applyBorder="1" applyAlignment="1" applyProtection="1">
      <alignment horizontal="center" vertical="center"/>
      <protection locked="0"/>
    </xf>
    <xf numFmtId="179" fontId="138" fillId="0" borderId="73" xfId="2" applyNumberFormat="1" applyFont="1" applyFill="1" applyBorder="1" applyAlignment="1" applyProtection="1">
      <alignment horizontal="center" vertical="center"/>
      <protection locked="0"/>
    </xf>
    <xf numFmtId="187" fontId="139" fillId="2" borderId="27" xfId="2" quotePrefix="1" applyNumberFormat="1" applyFont="1" applyFill="1" applyBorder="1" applyAlignment="1" applyProtection="1">
      <alignment horizontal="center" vertical="center" wrapText="1"/>
    </xf>
    <xf numFmtId="169" fontId="140" fillId="7" borderId="74" xfId="0" applyNumberFormat="1" applyFont="1" applyFill="1" applyBorder="1" applyAlignment="1" applyProtection="1">
      <alignment horizontal="center" vertical="center"/>
      <protection hidden="1"/>
    </xf>
    <xf numFmtId="179" fontId="140" fillId="7" borderId="75" xfId="0" applyNumberFormat="1" applyFont="1" applyFill="1" applyBorder="1" applyAlignment="1">
      <alignment horizontal="center" vertical="center"/>
    </xf>
    <xf numFmtId="179" fontId="140" fillId="7" borderId="76" xfId="0" applyNumberFormat="1" applyFont="1" applyFill="1" applyBorder="1" applyAlignment="1">
      <alignment horizontal="center" vertical="center"/>
    </xf>
    <xf numFmtId="202" fontId="140" fillId="7" borderId="77" xfId="2" applyNumberFormat="1" applyFont="1" applyFill="1" applyBorder="1" applyAlignment="1" applyProtection="1">
      <alignment horizontal="center" vertical="center"/>
    </xf>
    <xf numFmtId="179" fontId="140" fillId="7" borderId="78" xfId="0" applyNumberFormat="1" applyFont="1" applyFill="1" applyBorder="1" applyAlignment="1">
      <alignment horizontal="center" vertical="center"/>
    </xf>
    <xf numFmtId="187" fontId="141" fillId="2" borderId="31" xfId="0" applyNumberFormat="1" applyFont="1" applyFill="1" applyBorder="1" applyAlignment="1">
      <alignment horizontal="center" vertical="center"/>
    </xf>
    <xf numFmtId="169" fontId="122" fillId="6" borderId="79" xfId="0" applyNumberFormat="1" applyFont="1" applyFill="1" applyBorder="1" applyAlignment="1">
      <alignment horizontal="right" vertical="center"/>
    </xf>
    <xf numFmtId="179" fontId="122" fillId="6" borderId="80" xfId="0" applyNumberFormat="1" applyFont="1" applyFill="1" applyBorder="1" applyAlignment="1">
      <alignment horizontal="center" vertical="center"/>
    </xf>
    <xf numFmtId="0" fontId="122" fillId="0" borderId="81" xfId="0" applyFont="1" applyBorder="1" applyAlignment="1">
      <alignment vertical="center"/>
    </xf>
    <xf numFmtId="169" fontId="122" fillId="6" borderId="29" xfId="0" applyNumberFormat="1" applyFont="1" applyFill="1" applyBorder="1" applyAlignment="1">
      <alignment horizontal="right" vertical="center"/>
    </xf>
    <xf numFmtId="179" fontId="122" fillId="6" borderId="82" xfId="0" applyNumberFormat="1" applyFont="1" applyFill="1" applyBorder="1" applyAlignment="1">
      <alignment horizontal="center" vertical="center"/>
    </xf>
    <xf numFmtId="179" fontId="122" fillId="6" borderId="83" xfId="0" applyNumberFormat="1" applyFont="1" applyFill="1" applyBorder="1" applyAlignment="1">
      <alignment horizontal="center" vertical="center"/>
    </xf>
    <xf numFmtId="205" fontId="133" fillId="3" borderId="0" xfId="0" applyNumberFormat="1" applyFont="1" applyFill="1" applyAlignment="1">
      <alignment horizontal="center" vertical="center" shrinkToFit="1"/>
    </xf>
    <xf numFmtId="0" fontId="142" fillId="3" borderId="84" xfId="0" applyFont="1" applyFill="1" applyBorder="1" applyAlignment="1">
      <alignment horizontal="center" vertical="center"/>
    </xf>
    <xf numFmtId="0" fontId="142" fillId="3" borderId="85" xfId="0" applyFont="1" applyFill="1" applyBorder="1" applyAlignment="1">
      <alignment horizontal="center" vertical="center"/>
    </xf>
    <xf numFmtId="2" fontId="142" fillId="3" borderId="86" xfId="0" applyNumberFormat="1" applyFont="1" applyFill="1" applyBorder="1" applyAlignment="1">
      <alignment horizontal="center" vertical="center"/>
    </xf>
    <xf numFmtId="0" fontId="135" fillId="3" borderId="0" xfId="0" applyFont="1" applyFill="1" applyAlignment="1">
      <alignment vertical="center"/>
    </xf>
    <xf numFmtId="0" fontId="142" fillId="3" borderId="87" xfId="0" applyFont="1" applyFill="1" applyBorder="1" applyAlignment="1">
      <alignment horizontal="center" vertical="center"/>
    </xf>
    <xf numFmtId="0" fontId="142" fillId="3" borderId="88" xfId="0" applyFont="1" applyFill="1" applyBorder="1" applyAlignment="1">
      <alignment horizontal="center" vertical="center"/>
    </xf>
    <xf numFmtId="2" fontId="142" fillId="3" borderId="89" xfId="0" applyNumberFormat="1" applyFont="1" applyFill="1" applyBorder="1" applyAlignment="1">
      <alignment horizontal="center" vertical="center"/>
    </xf>
    <xf numFmtId="0" fontId="135" fillId="3" borderId="0" xfId="0" applyFont="1" applyFill="1" applyAlignment="1">
      <alignment horizontal="center" vertical="center" wrapText="1"/>
    </xf>
    <xf numFmtId="0" fontId="142" fillId="3" borderId="90" xfId="0" applyFont="1" applyFill="1" applyBorder="1" applyAlignment="1">
      <alignment horizontal="center" vertical="center"/>
    </xf>
    <xf numFmtId="0" fontId="142" fillId="3" borderId="91" xfId="0" applyFont="1" applyFill="1" applyBorder="1" applyAlignment="1">
      <alignment horizontal="center" vertical="center"/>
    </xf>
    <xf numFmtId="2" fontId="142" fillId="3" borderId="92" xfId="0" applyNumberFormat="1" applyFont="1" applyFill="1" applyBorder="1" applyAlignment="1">
      <alignment horizontal="center" vertical="center"/>
    </xf>
    <xf numFmtId="0" fontId="135" fillId="3" borderId="0" xfId="0" applyFont="1" applyFill="1" applyAlignment="1">
      <alignment horizontal="center" vertical="center" shrinkToFit="1"/>
    </xf>
    <xf numFmtId="0" fontId="121" fillId="3" borderId="0" xfId="2" applyFont="1" applyFill="1" applyAlignment="1" applyProtection="1">
      <alignment horizontal="center" vertical="center"/>
    </xf>
    <xf numFmtId="0" fontId="124" fillId="0" borderId="0" xfId="0" applyFont="1" applyAlignment="1">
      <alignment vertical="center"/>
    </xf>
    <xf numFmtId="0" fontId="124" fillId="0" borderId="0" xfId="0" applyFont="1" applyAlignment="1" applyProtection="1">
      <alignment horizontal="fill"/>
      <protection locked="0"/>
    </xf>
    <xf numFmtId="236" fontId="144" fillId="3" borderId="0" xfId="0" applyNumberFormat="1" applyFont="1" applyFill="1" applyAlignment="1">
      <alignment horizontal="right" vertical="center" shrinkToFit="1"/>
    </xf>
    <xf numFmtId="257" fontId="144" fillId="3" borderId="0" xfId="0" applyNumberFormat="1" applyFont="1" applyFill="1" applyAlignment="1">
      <alignment horizontal="right" vertical="center"/>
    </xf>
    <xf numFmtId="0" fontId="28" fillId="3" borderId="0" xfId="0" applyFont="1" applyFill="1" applyAlignment="1">
      <alignment horizontal="left" vertical="center" shrinkToFit="1"/>
    </xf>
    <xf numFmtId="0" fontId="118" fillId="3" borderId="0" xfId="0" quotePrefix="1" applyFont="1" applyFill="1" applyAlignment="1">
      <alignment horizontal="center" vertical="top"/>
    </xf>
    <xf numFmtId="260" fontId="131" fillId="0" borderId="95" xfId="0" applyNumberFormat="1" applyFont="1" applyBorder="1" applyAlignment="1" applyProtection="1">
      <alignment horizontal="center" vertical="center" shrinkToFit="1"/>
      <protection locked="0"/>
    </xf>
    <xf numFmtId="261" fontId="131" fillId="0" borderId="95" xfId="0" applyNumberFormat="1" applyFont="1" applyBorder="1" applyAlignment="1" applyProtection="1">
      <alignment horizontal="center" vertical="center" shrinkToFit="1"/>
      <protection locked="0"/>
    </xf>
    <xf numFmtId="0" fontId="47" fillId="3" borderId="23" xfId="0" applyFont="1" applyFill="1" applyBorder="1" applyAlignment="1">
      <alignment horizontal="center" vertical="center"/>
    </xf>
    <xf numFmtId="0" fontId="166" fillId="3" borderId="0" xfId="0" applyFont="1" applyFill="1" applyAlignment="1">
      <alignment vertical="center"/>
    </xf>
    <xf numFmtId="0" fontId="167" fillId="3" borderId="0" xfId="0" applyFont="1" applyFill="1" applyAlignment="1">
      <alignment horizontal="center"/>
    </xf>
    <xf numFmtId="0" fontId="47" fillId="3" borderId="8" xfId="0" quotePrefix="1" applyFont="1" applyFill="1" applyBorder="1" applyAlignment="1">
      <alignment horizontal="center" wrapText="1"/>
    </xf>
    <xf numFmtId="0" fontId="11" fillId="0" borderId="0" xfId="0" applyFont="1"/>
    <xf numFmtId="0" fontId="22" fillId="9" borderId="0" xfId="0" applyFont="1" applyFill="1"/>
    <xf numFmtId="219" fontId="168" fillId="3" borderId="3" xfId="0" applyNumberFormat="1" applyFont="1" applyFill="1" applyBorder="1" applyAlignment="1">
      <alignment horizontal="center" vertical="center" shrinkToFit="1"/>
    </xf>
    <xf numFmtId="219" fontId="168" fillId="3" borderId="3" xfId="0" applyNumberFormat="1" applyFont="1" applyFill="1" applyBorder="1" applyAlignment="1">
      <alignment horizontal="center" vertical="center"/>
    </xf>
    <xf numFmtId="219" fontId="168" fillId="3" borderId="34" xfId="0" applyNumberFormat="1" applyFont="1" applyFill="1" applyBorder="1" applyAlignment="1">
      <alignment horizontal="center" vertical="center"/>
    </xf>
    <xf numFmtId="0" fontId="171" fillId="10" borderId="0" xfId="0" applyFont="1" applyFill="1" applyAlignment="1">
      <alignment horizontal="justify" vertical="center"/>
    </xf>
    <xf numFmtId="253" fontId="171" fillId="10" borderId="0" xfId="0" applyNumberFormat="1" applyFont="1" applyFill="1" applyAlignment="1">
      <alignment horizontal="justify" vertical="center"/>
    </xf>
    <xf numFmtId="255" fontId="22" fillId="0" borderId="0" xfId="0" applyNumberFormat="1" applyFont="1"/>
    <xf numFmtId="263" fontId="131" fillId="0" borderId="33" xfId="0" applyNumberFormat="1" applyFont="1" applyBorder="1" applyAlignment="1" applyProtection="1">
      <alignment horizontal="center" vertical="center"/>
      <protection locked="0"/>
    </xf>
    <xf numFmtId="0" fontId="122" fillId="5" borderId="24" xfId="0" applyFont="1" applyFill="1" applyBorder="1" applyAlignment="1">
      <alignment horizontal="center" vertical="center" wrapText="1"/>
    </xf>
    <xf numFmtId="0" fontId="123" fillId="5" borderId="3" xfId="0" applyFont="1" applyFill="1" applyBorder="1" applyAlignment="1">
      <alignment horizontal="right" vertical="center" wrapText="1"/>
    </xf>
    <xf numFmtId="1" fontId="159" fillId="0" borderId="0" xfId="0" applyNumberFormat="1" applyFont="1" applyAlignment="1">
      <alignment horizontal="center" vertical="center" shrinkToFit="1"/>
    </xf>
    <xf numFmtId="0" fontId="37" fillId="3" borderId="0" xfId="0" applyFont="1" applyFill="1" applyAlignment="1">
      <alignment horizontal="left" vertical="center"/>
    </xf>
    <xf numFmtId="249" fontId="122" fillId="9" borderId="169" xfId="0" applyNumberFormat="1" applyFont="1" applyFill="1" applyBorder="1" applyAlignment="1">
      <alignment horizontal="center" vertical="center" shrinkToFit="1"/>
    </xf>
    <xf numFmtId="0" fontId="122" fillId="3" borderId="35" xfId="0" quotePrefix="1" applyFont="1" applyFill="1" applyBorder="1" applyAlignment="1">
      <alignment horizontal="left" vertical="center" wrapText="1"/>
    </xf>
    <xf numFmtId="250" fontId="127" fillId="9" borderId="0" xfId="0" applyNumberFormat="1" applyFont="1" applyFill="1" applyAlignment="1" applyProtection="1">
      <alignment horizontal="center" vertical="center" shrinkToFit="1"/>
      <protection locked="0"/>
    </xf>
    <xf numFmtId="0" fontId="122" fillId="3" borderId="0" xfId="0" quotePrefix="1" applyFont="1" applyFill="1" applyAlignment="1" applyProtection="1">
      <alignment horizontal="right"/>
      <protection locked="0"/>
    </xf>
    <xf numFmtId="225" fontId="122" fillId="9" borderId="55" xfId="0" applyNumberFormat="1" applyFont="1" applyFill="1" applyBorder="1" applyAlignment="1">
      <alignment horizontal="center" vertical="center" shrinkToFit="1"/>
    </xf>
    <xf numFmtId="3" fontId="121" fillId="0" borderId="47" xfId="2" applyNumberFormat="1" applyFont="1" applyFill="1" applyBorder="1" applyAlignment="1" applyProtection="1">
      <alignment horizontal="center" vertical="center" shrinkToFit="1"/>
      <protection locked="0"/>
    </xf>
    <xf numFmtId="0" fontId="0" fillId="0" borderId="27" xfId="0" applyBorder="1"/>
    <xf numFmtId="0" fontId="182" fillId="9" borderId="34" xfId="0" applyFont="1" applyFill="1" applyBorder="1" applyAlignment="1">
      <alignment horizontal="center" vertical="center" shrinkToFit="1"/>
    </xf>
    <xf numFmtId="269" fontId="0" fillId="0" borderId="0" xfId="0" applyNumberFormat="1" applyAlignment="1">
      <alignment horizontal="center" vertical="center" shrinkToFit="1"/>
    </xf>
    <xf numFmtId="268" fontId="0" fillId="0" borderId="0" xfId="0" applyNumberFormat="1" applyAlignment="1">
      <alignment horizontal="center" vertical="center" shrinkToFit="1"/>
    </xf>
    <xf numFmtId="0" fontId="69" fillId="2" borderId="176" xfId="0" applyFont="1" applyFill="1" applyBorder="1" applyAlignment="1">
      <alignment horizontal="center" vertical="center" shrinkToFit="1"/>
    </xf>
    <xf numFmtId="0" fontId="77" fillId="6" borderId="135" xfId="0" applyFont="1" applyFill="1" applyBorder="1" applyAlignment="1">
      <alignment horizontal="center" vertical="center" shrinkToFit="1"/>
    </xf>
    <xf numFmtId="226" fontId="122" fillId="0" borderId="42" xfId="0" applyNumberFormat="1" applyFont="1" applyBorder="1" applyAlignment="1">
      <alignment horizontal="center" vertical="center" shrinkToFit="1"/>
    </xf>
    <xf numFmtId="226" fontId="118" fillId="0" borderId="73" xfId="0" applyNumberFormat="1" applyFont="1" applyBorder="1" applyAlignment="1">
      <alignment horizontal="center" vertical="center" shrinkToFit="1"/>
    </xf>
    <xf numFmtId="270" fontId="141" fillId="2" borderId="41" xfId="0" applyNumberFormat="1" applyFont="1" applyFill="1" applyBorder="1" applyAlignment="1">
      <alignment horizontal="left" vertical="center"/>
    </xf>
    <xf numFmtId="206" fontId="141" fillId="2" borderId="48" xfId="0" applyNumberFormat="1" applyFont="1" applyFill="1" applyBorder="1" applyAlignment="1">
      <alignment horizontal="right" vertical="center" shrinkToFit="1"/>
    </xf>
    <xf numFmtId="271" fontId="141" fillId="2" borderId="49" xfId="0" applyNumberFormat="1" applyFont="1" applyFill="1" applyBorder="1" applyAlignment="1">
      <alignment horizontal="center" vertical="center" shrinkToFit="1"/>
    </xf>
    <xf numFmtId="0" fontId="183" fillId="0" borderId="0" xfId="0" applyFont="1" applyAlignment="1">
      <alignment horizontal="center" vertical="center" shrinkToFit="1"/>
    </xf>
    <xf numFmtId="0" fontId="3" fillId="0" borderId="0" xfId="0" applyFont="1" applyAlignment="1">
      <alignment vertical="center" shrinkToFit="1"/>
    </xf>
    <xf numFmtId="0" fontId="124" fillId="9" borderId="99" xfId="0" applyFont="1" applyFill="1" applyBorder="1" applyAlignment="1">
      <alignment horizontal="center" vertical="center" wrapText="1"/>
    </xf>
    <xf numFmtId="2" fontId="187" fillId="0" borderId="0" xfId="0" applyNumberFormat="1" applyFont="1" applyAlignment="1">
      <alignment horizontal="center" vertical="center" shrinkToFit="1"/>
    </xf>
    <xf numFmtId="0" fontId="187" fillId="0" borderId="0" xfId="0" applyFont="1" applyAlignment="1">
      <alignment horizontal="center" vertical="center" shrinkToFit="1"/>
    </xf>
    <xf numFmtId="1" fontId="189" fillId="0" borderId="0" xfId="0" applyNumberFormat="1" applyFont="1" applyAlignment="1">
      <alignment horizontal="center" vertical="center" shrinkToFit="1"/>
    </xf>
    <xf numFmtId="3" fontId="126" fillId="5" borderId="30" xfId="0" applyNumberFormat="1" applyFont="1" applyFill="1" applyBorder="1" applyAlignment="1">
      <alignment horizontal="center" vertical="top"/>
    </xf>
    <xf numFmtId="0" fontId="23" fillId="5" borderId="17" xfId="2" applyFont="1" applyFill="1" applyBorder="1" applyAlignment="1" applyProtection="1">
      <alignment horizontal="center" vertical="center" wrapText="1" shrinkToFit="1"/>
    </xf>
    <xf numFmtId="4" fontId="126" fillId="5" borderId="24" xfId="0" applyNumberFormat="1" applyFont="1" applyFill="1" applyBorder="1" applyAlignment="1">
      <alignment horizontal="left" vertical="center"/>
    </xf>
    <xf numFmtId="0" fontId="23" fillId="5" borderId="0" xfId="0" applyFont="1" applyFill="1" applyAlignment="1">
      <alignment horizontal="center" vertical="center"/>
    </xf>
    <xf numFmtId="275" fontId="122" fillId="3" borderId="57" xfId="0" quotePrefix="1" applyNumberFormat="1" applyFont="1" applyFill="1" applyBorder="1" applyAlignment="1">
      <alignment horizontal="center" vertical="center"/>
    </xf>
    <xf numFmtId="276" fontId="122" fillId="9" borderId="58" xfId="0" quotePrefix="1" applyNumberFormat="1" applyFont="1" applyFill="1" applyBorder="1" applyAlignment="1">
      <alignment horizontal="center" vertical="center"/>
    </xf>
    <xf numFmtId="258" fontId="121" fillId="0" borderId="54" xfId="0" applyNumberFormat="1" applyFont="1" applyBorder="1" applyAlignment="1" applyProtection="1">
      <alignment horizontal="center" vertical="center" shrinkToFit="1"/>
      <protection locked="0"/>
    </xf>
    <xf numFmtId="0" fontId="122" fillId="11" borderId="49" xfId="0" applyFont="1" applyFill="1" applyBorder="1" applyAlignment="1">
      <alignment horizontal="center" vertical="center"/>
    </xf>
    <xf numFmtId="277" fontId="122" fillId="11" borderId="49" xfId="0" applyNumberFormat="1" applyFont="1" applyFill="1" applyBorder="1" applyAlignment="1">
      <alignment horizontal="center" vertical="center" shrinkToFit="1"/>
    </xf>
    <xf numFmtId="0" fontId="123" fillId="5" borderId="31" xfId="0" applyFont="1" applyFill="1" applyBorder="1" applyAlignment="1">
      <alignment horizontal="center" vertical="center" shrinkToFit="1"/>
    </xf>
    <xf numFmtId="0" fontId="66" fillId="0" borderId="14" xfId="0" applyFont="1" applyBorder="1" applyAlignment="1">
      <alignment horizontal="center" vertical="center" shrinkToFit="1"/>
    </xf>
    <xf numFmtId="281" fontId="121" fillId="0" borderId="22" xfId="0" applyNumberFormat="1" applyFont="1" applyBorder="1" applyAlignment="1" applyProtection="1">
      <alignment horizontal="center" vertical="center"/>
      <protection locked="0"/>
    </xf>
    <xf numFmtId="282" fontId="128" fillId="0" borderId="35" xfId="0" applyNumberFormat="1" applyFont="1" applyBorder="1" applyAlignment="1" applyProtection="1">
      <alignment horizontal="center" vertical="center" shrinkToFit="1"/>
      <protection locked="0"/>
    </xf>
    <xf numFmtId="283" fontId="172" fillId="0" borderId="68" xfId="0" applyNumberFormat="1" applyFont="1" applyBorder="1" applyAlignment="1" applyProtection="1">
      <alignment horizontal="center" vertical="center" shrinkToFit="1"/>
      <protection locked="0"/>
    </xf>
    <xf numFmtId="284" fontId="128" fillId="0" borderId="35" xfId="0" applyNumberFormat="1" applyFont="1" applyBorder="1" applyAlignment="1" applyProtection="1">
      <alignment horizontal="center" vertical="center" shrinkToFit="1"/>
      <protection locked="0"/>
    </xf>
    <xf numFmtId="285" fontId="122" fillId="0" borderId="42" xfId="0" applyNumberFormat="1" applyFont="1" applyBorder="1" applyAlignment="1">
      <alignment horizontal="center" vertical="center" shrinkToFit="1"/>
    </xf>
    <xf numFmtId="285" fontId="122" fillId="0" borderId="73" xfId="0" applyNumberFormat="1" applyFont="1" applyBorder="1" applyAlignment="1">
      <alignment horizontal="center" vertical="center" shrinkToFit="1"/>
    </xf>
    <xf numFmtId="285" fontId="122" fillId="0" borderId="134" xfId="0" applyNumberFormat="1" applyFont="1" applyBorder="1" applyAlignment="1">
      <alignment horizontal="center" vertical="center" shrinkToFit="1"/>
    </xf>
    <xf numFmtId="285" fontId="122" fillId="0" borderId="38" xfId="0" applyNumberFormat="1" applyFont="1" applyBorder="1" applyAlignment="1">
      <alignment horizontal="center" vertical="center" shrinkToFit="1"/>
    </xf>
    <xf numFmtId="273" fontId="122" fillId="0" borderId="181" xfId="0" applyNumberFormat="1" applyFont="1" applyBorder="1" applyAlignment="1">
      <alignment horizontal="center" vertical="center" shrinkToFit="1"/>
    </xf>
    <xf numFmtId="240" fontId="121" fillId="0" borderId="29" xfId="0" applyNumberFormat="1" applyFont="1" applyBorder="1" applyAlignment="1" applyProtection="1">
      <alignment horizontal="center" vertical="center" shrinkToFit="1"/>
      <protection locked="0"/>
    </xf>
    <xf numFmtId="239" fontId="121" fillId="0" borderId="182" xfId="0" applyNumberFormat="1" applyFont="1" applyBorder="1" applyAlignment="1" applyProtection="1">
      <alignment horizontal="center" vertical="center" shrinkToFit="1"/>
      <protection locked="0"/>
    </xf>
    <xf numFmtId="286" fontId="122" fillId="0" borderId="112" xfId="0" applyNumberFormat="1" applyFont="1" applyBorder="1" applyAlignment="1">
      <alignment horizontal="center" vertical="center" shrinkToFit="1"/>
    </xf>
    <xf numFmtId="10" fontId="0" fillId="0" borderId="0" xfId="0" applyNumberFormat="1" applyAlignment="1">
      <alignment vertical="center" shrinkToFit="1"/>
    </xf>
    <xf numFmtId="10" fontId="0" fillId="0" borderId="0" xfId="0" applyNumberFormat="1" applyAlignment="1">
      <alignment horizontal="center" vertical="center" shrinkToFit="1"/>
    </xf>
    <xf numFmtId="260" fontId="131" fillId="0" borderId="53" xfId="0" applyNumberFormat="1" applyFont="1" applyBorder="1" applyAlignment="1" applyProtection="1">
      <alignment horizontal="center" vertical="center" shrinkToFit="1"/>
      <protection locked="0"/>
    </xf>
    <xf numFmtId="0" fontId="124" fillId="10" borderId="23" xfId="0" applyFont="1" applyFill="1" applyBorder="1" applyAlignment="1">
      <alignment horizontal="justify" vertical="center"/>
    </xf>
    <xf numFmtId="255" fontId="118" fillId="3" borderId="25" xfId="0" applyNumberFormat="1" applyFont="1" applyFill="1" applyBorder="1" applyAlignment="1">
      <alignment horizontal="left" vertical="center"/>
    </xf>
    <xf numFmtId="0" fontId="143" fillId="0" borderId="171" xfId="0" applyFont="1" applyBorder="1" applyAlignment="1" applyProtection="1">
      <alignment horizontal="center" vertical="center"/>
      <protection locked="0"/>
    </xf>
    <xf numFmtId="0" fontId="196" fillId="10" borderId="0" xfId="0" applyFont="1" applyFill="1" applyAlignment="1">
      <alignment horizontal="left" vertical="center"/>
    </xf>
    <xf numFmtId="290" fontId="121" fillId="0" borderId="73" xfId="0" applyNumberFormat="1" applyFont="1" applyBorder="1" applyAlignment="1" applyProtection="1">
      <alignment horizontal="center" vertical="center"/>
      <protection locked="0"/>
    </xf>
    <xf numFmtId="0" fontId="200" fillId="3" borderId="94" xfId="2" applyFont="1" applyFill="1" applyBorder="1" applyAlignment="1" applyProtection="1">
      <alignment horizontal="center" vertical="center"/>
    </xf>
    <xf numFmtId="0" fontId="194" fillId="13" borderId="69" xfId="0" applyFont="1" applyFill="1" applyBorder="1" applyAlignment="1" applyProtection="1">
      <alignment horizontal="center" vertical="center" shrinkToFit="1"/>
      <protection locked="0"/>
    </xf>
    <xf numFmtId="247" fontId="120" fillId="3" borderId="60" xfId="0" applyNumberFormat="1" applyFont="1" applyFill="1" applyBorder="1" applyAlignment="1">
      <alignment horizontal="center" vertical="center" shrinkToFit="1"/>
    </xf>
    <xf numFmtId="220" fontId="121" fillId="0" borderId="57" xfId="0" applyNumberFormat="1" applyFont="1" applyBorder="1" applyAlignment="1" applyProtection="1">
      <alignment horizontal="right" vertical="center"/>
      <protection locked="0"/>
    </xf>
    <xf numFmtId="4" fontId="147" fillId="3" borderId="61" xfId="0" applyNumberFormat="1" applyFont="1" applyFill="1" applyBorder="1" applyAlignment="1">
      <alignment horizontal="center" vertical="center" shrinkToFit="1"/>
    </xf>
    <xf numFmtId="0" fontId="22" fillId="0" borderId="3" xfId="0" applyFont="1" applyBorder="1" applyAlignment="1">
      <alignment horizontal="center" vertical="center" shrinkToFit="1"/>
    </xf>
    <xf numFmtId="0" fontId="172" fillId="0" borderId="26" xfId="0" applyFont="1" applyBorder="1" applyAlignment="1" applyProtection="1">
      <alignment horizontal="center" vertical="center" shrinkToFit="1"/>
      <protection locked="0"/>
    </xf>
    <xf numFmtId="270" fontId="122" fillId="0" borderId="20" xfId="0" applyNumberFormat="1" applyFont="1" applyBorder="1" applyAlignment="1">
      <alignment horizontal="left" vertical="center"/>
    </xf>
    <xf numFmtId="221" fontId="201" fillId="14" borderId="41" xfId="0" applyNumberFormat="1" applyFont="1" applyFill="1" applyBorder="1" applyAlignment="1">
      <alignment horizontal="left" vertical="center" shrinkToFit="1"/>
    </xf>
    <xf numFmtId="2" fontId="73" fillId="3" borderId="0" xfId="0" applyNumberFormat="1" applyFont="1" applyFill="1" applyAlignment="1">
      <alignment horizontal="center"/>
    </xf>
    <xf numFmtId="1" fontId="172" fillId="0" borderId="93" xfId="0" applyNumberFormat="1" applyFont="1" applyBorder="1" applyAlignment="1" applyProtection="1">
      <alignment horizontal="center" vertical="center" shrinkToFit="1"/>
      <protection locked="0"/>
    </xf>
    <xf numFmtId="294" fontId="121" fillId="0" borderId="22" xfId="0" applyNumberFormat="1" applyFont="1" applyBorder="1" applyAlignment="1" applyProtection="1">
      <alignment horizontal="center" vertical="center"/>
      <protection locked="0"/>
    </xf>
    <xf numFmtId="295" fontId="122" fillId="0" borderId="17" xfId="0" applyNumberFormat="1" applyFont="1" applyBorder="1" applyAlignment="1">
      <alignment horizontal="center" vertical="center" shrinkToFit="1"/>
    </xf>
    <xf numFmtId="0" fontId="3" fillId="0" borderId="0" xfId="0" applyFont="1"/>
    <xf numFmtId="190"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180" fontId="22" fillId="0" borderId="0" xfId="0" applyNumberFormat="1" applyFont="1" applyAlignment="1">
      <alignment horizontal="center" vertical="center" shrinkToFit="1"/>
    </xf>
    <xf numFmtId="10" fontId="121" fillId="0" borderId="18" xfId="0" applyNumberFormat="1" applyFont="1" applyBorder="1" applyAlignment="1" applyProtection="1">
      <alignment horizontal="center" vertical="center" shrinkToFit="1"/>
      <protection locked="0"/>
    </xf>
    <xf numFmtId="0" fontId="20" fillId="0" borderId="0" xfId="2" applyFont="1" applyBorder="1" applyAlignment="1" applyProtection="1">
      <alignment horizontal="center" vertical="center"/>
    </xf>
    <xf numFmtId="0" fontId="0" fillId="9" borderId="0" xfId="0" applyFill="1" applyAlignment="1">
      <alignment horizontal="center" vertical="center" wrapText="1" shrinkToFit="1"/>
    </xf>
    <xf numFmtId="0" fontId="0" fillId="9" borderId="0" xfId="0" applyFill="1" applyAlignment="1">
      <alignment horizontal="center" vertical="center" shrinkToFit="1"/>
    </xf>
    <xf numFmtId="268" fontId="122" fillId="9" borderId="0" xfId="0" applyNumberFormat="1" applyFont="1" applyFill="1" applyAlignment="1">
      <alignment horizontal="center" vertical="center" shrinkToFit="1"/>
    </xf>
    <xf numFmtId="184" fontId="122" fillId="9" borderId="0" xfId="0" applyNumberFormat="1" applyFont="1" applyFill="1" applyAlignment="1">
      <alignment horizontal="center" vertical="center" shrinkToFit="1"/>
    </xf>
    <xf numFmtId="0" fontId="0" fillId="9" borderId="0" xfId="0" applyFill="1" applyAlignment="1">
      <alignment vertical="center"/>
    </xf>
    <xf numFmtId="0" fontId="8" fillId="9" borderId="0" xfId="0" applyFont="1" applyFill="1" applyAlignment="1">
      <alignment horizontal="center" vertical="center"/>
    </xf>
    <xf numFmtId="0" fontId="123" fillId="9" borderId="0" xfId="0" applyFont="1" applyFill="1" applyAlignment="1">
      <alignment horizontal="center" vertical="center" shrinkToFit="1"/>
    </xf>
    <xf numFmtId="170" fontId="204" fillId="9" borderId="0" xfId="0" applyNumberFormat="1" applyFont="1" applyFill="1" applyAlignment="1" applyProtection="1">
      <alignment horizontal="center" vertical="center" shrinkToFit="1"/>
      <protection locked="0"/>
    </xf>
    <xf numFmtId="297" fontId="19" fillId="9" borderId="0" xfId="0" applyNumberFormat="1" applyFont="1" applyFill="1" applyAlignment="1">
      <alignment horizontal="center" vertical="center" shrinkToFit="1"/>
    </xf>
    <xf numFmtId="297" fontId="14" fillId="9" borderId="0" xfId="0" applyNumberFormat="1" applyFont="1" applyFill="1" applyAlignment="1">
      <alignment horizontal="center" vertical="center" shrinkToFit="1"/>
    </xf>
    <xf numFmtId="296" fontId="122" fillId="9" borderId="0" xfId="0" applyNumberFormat="1" applyFont="1" applyFill="1" applyAlignment="1">
      <alignment horizontal="center" vertical="center" shrinkToFit="1"/>
    </xf>
    <xf numFmtId="296" fontId="0" fillId="9" borderId="0" xfId="0" applyNumberFormat="1" applyFill="1" applyAlignment="1">
      <alignment horizontal="center" vertical="center" shrinkToFit="1"/>
    </xf>
    <xf numFmtId="278" fontId="122" fillId="0" borderId="5" xfId="0" applyNumberFormat="1" applyFont="1" applyBorder="1" applyAlignment="1">
      <alignment horizontal="center" vertical="center" shrinkToFit="1"/>
    </xf>
    <xf numFmtId="243" fontId="120" fillId="9" borderId="65" xfId="0" applyNumberFormat="1" applyFont="1" applyFill="1" applyBorder="1" applyAlignment="1">
      <alignment horizontal="center" vertical="center" wrapText="1"/>
    </xf>
    <xf numFmtId="244" fontId="120" fillId="9" borderId="66" xfId="0" applyNumberFormat="1" applyFont="1" applyFill="1" applyBorder="1" applyAlignment="1">
      <alignment horizontal="center" vertical="center" shrinkToFit="1"/>
    </xf>
    <xf numFmtId="265" fontId="120" fillId="0" borderId="103" xfId="2" quotePrefix="1" applyNumberFormat="1" applyFont="1" applyFill="1" applyBorder="1" applyAlignment="1" applyProtection="1">
      <alignment horizontal="center" vertical="center" shrinkToFit="1"/>
    </xf>
    <xf numFmtId="216" fontId="64" fillId="0" borderId="93" xfId="0" applyNumberFormat="1" applyFont="1" applyBorder="1" applyAlignment="1" applyProtection="1">
      <alignment horizontal="center" vertical="center" shrinkToFit="1"/>
      <protection locked="0"/>
    </xf>
    <xf numFmtId="298" fontId="122" fillId="11" borderId="64" xfId="0" applyNumberFormat="1" applyFont="1" applyFill="1" applyBorder="1" applyAlignment="1">
      <alignment horizontal="center" vertical="center" wrapText="1"/>
    </xf>
    <xf numFmtId="281" fontId="122" fillId="3" borderId="67" xfId="0" applyNumberFormat="1" applyFont="1" applyFill="1" applyBorder="1" applyAlignment="1">
      <alignment horizontal="center" vertical="center" shrinkToFit="1"/>
    </xf>
    <xf numFmtId="254" fontId="122" fillId="0" borderId="192" xfId="0" quotePrefix="1" applyNumberFormat="1" applyFont="1" applyBorder="1" applyAlignment="1">
      <alignment horizontal="center" vertical="center" shrinkToFit="1"/>
    </xf>
    <xf numFmtId="301" fontId="122" fillId="11" borderId="49" xfId="0" applyNumberFormat="1" applyFont="1" applyFill="1" applyBorder="1" applyAlignment="1">
      <alignment horizontal="center" vertical="center" shrinkToFit="1"/>
    </xf>
    <xf numFmtId="0" fontId="4" fillId="0" borderId="14" xfId="2" applyBorder="1" applyAlignment="1" applyProtection="1">
      <alignment horizontal="center" vertical="center"/>
    </xf>
    <xf numFmtId="0" fontId="119" fillId="0" borderId="0" xfId="0" applyFont="1" applyAlignment="1">
      <alignment horizontal="center" vertical="center"/>
    </xf>
    <xf numFmtId="0" fontId="20" fillId="0" borderId="2" xfId="2" quotePrefix="1" applyFont="1" applyBorder="1" applyAlignment="1" applyProtection="1">
      <alignment horizontal="center" vertical="center"/>
    </xf>
    <xf numFmtId="218" fontId="125" fillId="3" borderId="115" xfId="2" applyNumberFormat="1" applyFont="1" applyFill="1" applyBorder="1" applyAlignment="1" applyProtection="1">
      <alignment horizontal="center" vertical="center" shrinkToFit="1"/>
    </xf>
    <xf numFmtId="2" fontId="197" fillId="0" borderId="0" xfId="0" applyNumberFormat="1" applyFont="1"/>
    <xf numFmtId="306" fontId="207" fillId="14" borderId="20" xfId="0" applyNumberFormat="1" applyFont="1" applyFill="1" applyBorder="1" applyAlignment="1">
      <alignment horizontal="center" vertical="center" shrinkToFit="1"/>
    </xf>
    <xf numFmtId="230" fontId="172" fillId="0" borderId="35" xfId="0" applyNumberFormat="1" applyFont="1" applyBorder="1" applyAlignment="1" applyProtection="1">
      <alignment horizontal="center" vertical="center" shrinkToFit="1"/>
      <protection locked="0"/>
    </xf>
    <xf numFmtId="307" fontId="172" fillId="0" borderId="190" xfId="0" applyNumberFormat="1" applyFont="1" applyBorder="1" applyAlignment="1" applyProtection="1">
      <alignment horizontal="center" vertical="center" shrinkToFit="1"/>
      <protection locked="0"/>
    </xf>
    <xf numFmtId="247" fontId="122" fillId="9" borderId="189" xfId="0" applyNumberFormat="1" applyFont="1" applyFill="1" applyBorder="1" applyAlignment="1">
      <alignment horizontal="center" vertical="center" shrinkToFit="1"/>
    </xf>
    <xf numFmtId="254" fontId="122" fillId="9" borderId="191" xfId="0" applyNumberFormat="1" applyFont="1" applyFill="1" applyBorder="1" applyAlignment="1">
      <alignment horizontal="center" vertical="center" shrinkToFit="1"/>
    </xf>
    <xf numFmtId="294" fontId="122" fillId="10" borderId="183" xfId="0" applyNumberFormat="1" applyFont="1" applyFill="1" applyBorder="1" applyAlignment="1">
      <alignment horizontal="center" vertical="center"/>
    </xf>
    <xf numFmtId="298" fontId="122" fillId="9" borderId="8" xfId="0" applyNumberFormat="1" applyFont="1" applyFill="1" applyBorder="1" applyAlignment="1">
      <alignment horizontal="center" vertical="center"/>
    </xf>
    <xf numFmtId="220" fontId="120" fillId="0" borderId="184" xfId="0" applyNumberFormat="1" applyFont="1" applyBorder="1" applyAlignment="1">
      <alignment horizontal="left" vertical="center"/>
    </xf>
    <xf numFmtId="268" fontId="122" fillId="9" borderId="11" xfId="0" applyNumberFormat="1" applyFont="1" applyFill="1" applyBorder="1" applyAlignment="1">
      <alignment horizontal="center" vertical="center" shrinkToFit="1"/>
    </xf>
    <xf numFmtId="308" fontId="93" fillId="0" borderId="106" xfId="0" applyNumberFormat="1" applyFont="1" applyBorder="1" applyAlignment="1">
      <alignment horizontal="center" vertical="center" shrinkToFit="1"/>
    </xf>
    <xf numFmtId="170" fontId="93" fillId="0" borderId="20" xfId="0" applyNumberFormat="1" applyFont="1" applyBorder="1" applyAlignment="1">
      <alignment horizontal="center" vertical="center" shrinkToFit="1"/>
    </xf>
    <xf numFmtId="170" fontId="93" fillId="0" borderId="139" xfId="0" applyNumberFormat="1" applyFont="1" applyBorder="1" applyAlignment="1">
      <alignment horizontal="center" vertical="center" shrinkToFit="1"/>
    </xf>
    <xf numFmtId="0" fontId="23" fillId="2" borderId="29" xfId="0" quotePrefix="1" applyFont="1" applyFill="1" applyBorder="1" applyAlignment="1">
      <alignment horizontal="center" vertical="center" shrinkToFit="1"/>
    </xf>
    <xf numFmtId="0" fontId="23" fillId="2" borderId="15" xfId="0" quotePrefix="1" applyFont="1" applyFill="1" applyBorder="1" applyAlignment="1">
      <alignment horizontal="center" vertical="center" shrinkToFit="1"/>
    </xf>
    <xf numFmtId="0" fontId="23" fillId="2" borderId="17" xfId="0" applyFont="1" applyFill="1" applyBorder="1" applyAlignment="1">
      <alignment horizontal="center" vertical="center"/>
    </xf>
    <xf numFmtId="0" fontId="23" fillId="2" borderId="0" xfId="0" applyFont="1" applyFill="1" applyAlignment="1">
      <alignment horizontal="center" vertical="center"/>
    </xf>
    <xf numFmtId="0" fontId="23" fillId="2" borderId="16" xfId="0" applyFont="1" applyFill="1" applyBorder="1" applyAlignment="1">
      <alignment horizontal="center" vertical="center"/>
    </xf>
    <xf numFmtId="177" fontId="123" fillId="5" borderId="29" xfId="0" applyNumberFormat="1" applyFont="1" applyFill="1" applyBorder="1" applyAlignment="1">
      <alignment horizontal="center" vertical="center" shrinkToFit="1"/>
    </xf>
    <xf numFmtId="177" fontId="123" fillId="5" borderId="15" xfId="0" applyNumberFormat="1" applyFont="1" applyFill="1" applyBorder="1" applyAlignment="1">
      <alignment horizontal="center" vertical="center" shrinkToFit="1"/>
    </xf>
    <xf numFmtId="177" fontId="123" fillId="5" borderId="30" xfId="0" applyNumberFormat="1" applyFont="1" applyFill="1" applyBorder="1" applyAlignment="1">
      <alignment horizontal="center" vertical="center" shrinkToFit="1"/>
    </xf>
    <xf numFmtId="0" fontId="23" fillId="2" borderId="107"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123" fillId="5" borderId="37" xfId="0" quotePrefix="1" applyFont="1" applyFill="1" applyBorder="1" applyAlignment="1">
      <alignment horizontal="center" vertical="center" shrinkToFit="1"/>
    </xf>
    <xf numFmtId="0" fontId="122" fillId="0" borderId="3" xfId="0" applyFont="1" applyBorder="1" applyAlignment="1">
      <alignment horizontal="center" vertical="center" shrinkToFit="1"/>
    </xf>
    <xf numFmtId="0" fontId="123" fillId="5" borderId="143" xfId="0" applyFont="1" applyFill="1" applyBorder="1" applyAlignment="1">
      <alignment horizontal="center" vertical="center" wrapText="1" shrinkToFit="1"/>
    </xf>
    <xf numFmtId="0" fontId="141" fillId="5" borderId="144" xfId="0" applyFont="1" applyFill="1" applyBorder="1" applyAlignment="1">
      <alignment horizontal="center" vertical="center" wrapText="1" shrinkToFit="1"/>
    </xf>
    <xf numFmtId="0" fontId="135" fillId="5" borderId="144" xfId="0" applyFont="1" applyFill="1" applyBorder="1" applyAlignment="1">
      <alignment horizontal="center" vertical="center" wrapText="1"/>
    </xf>
    <xf numFmtId="0" fontId="135" fillId="5" borderId="70" xfId="0" applyFont="1" applyFill="1" applyBorder="1" applyAlignment="1">
      <alignment horizontal="center" vertical="center" wrapText="1"/>
    </xf>
    <xf numFmtId="0" fontId="135" fillId="5" borderId="99" xfId="0" applyFont="1" applyFill="1" applyBorder="1" applyAlignment="1">
      <alignment horizontal="center" vertical="center" wrapText="1"/>
    </xf>
    <xf numFmtId="0" fontId="123" fillId="5" borderId="111" xfId="0" applyFont="1" applyFill="1" applyBorder="1" applyAlignment="1">
      <alignment horizontal="center" vertical="center"/>
    </xf>
    <xf numFmtId="0" fontId="123" fillId="5" borderId="112" xfId="0" applyFont="1" applyFill="1" applyBorder="1" applyAlignment="1">
      <alignment horizontal="center" vertical="center"/>
    </xf>
    <xf numFmtId="4" fontId="149" fillId="0" borderId="31" xfId="0" applyNumberFormat="1" applyFont="1" applyBorder="1" applyAlignment="1">
      <alignment horizontal="center" vertical="center" shrinkToFit="1"/>
    </xf>
    <xf numFmtId="4" fontId="135" fillId="0" borderId="3" xfId="0" applyNumberFormat="1" applyFont="1" applyBorder="1" applyAlignment="1">
      <alignment horizontal="center" vertical="center" shrinkToFit="1"/>
    </xf>
    <xf numFmtId="4" fontId="135" fillId="0" borderId="24" xfId="0" applyNumberFormat="1" applyFont="1" applyBorder="1" applyAlignment="1">
      <alignment horizontal="center" vertical="center" shrinkToFit="1"/>
    </xf>
    <xf numFmtId="177" fontId="122" fillId="0" borderId="46" xfId="0" applyNumberFormat="1" applyFont="1" applyBorder="1" applyAlignment="1">
      <alignment horizontal="center" vertical="center" shrinkToFit="1"/>
    </xf>
    <xf numFmtId="0" fontId="0" fillId="0" borderId="94" xfId="0" applyBorder="1" applyAlignment="1">
      <alignment horizontal="center" vertical="center" shrinkToFit="1"/>
    </xf>
    <xf numFmtId="0" fontId="0" fillId="0" borderId="100" xfId="0" applyBorder="1" applyAlignment="1">
      <alignment horizontal="center" vertical="center" shrinkToFit="1"/>
    </xf>
    <xf numFmtId="0" fontId="17" fillId="15" borderId="107" xfId="0" applyFont="1" applyFill="1" applyBorder="1" applyAlignment="1">
      <alignment horizontal="center" vertical="center"/>
    </xf>
    <xf numFmtId="0" fontId="17" fillId="15" borderId="34" xfId="0" applyFont="1" applyFill="1" applyBorder="1" applyAlignment="1">
      <alignment horizontal="center" vertical="center"/>
    </xf>
    <xf numFmtId="0" fontId="17" fillId="15" borderId="20" xfId="0" applyFont="1" applyFill="1" applyBorder="1" applyAlignment="1">
      <alignment horizontal="center" vertical="center"/>
    </xf>
    <xf numFmtId="0" fontId="123" fillId="5" borderId="17" xfId="0" applyFont="1" applyFill="1" applyBorder="1" applyAlignment="1">
      <alignment horizontal="center" vertical="center" wrapText="1"/>
    </xf>
    <xf numFmtId="0" fontId="124" fillId="5" borderId="17" xfId="0" applyFont="1" applyFill="1" applyBorder="1" applyAlignment="1">
      <alignment horizontal="center" vertical="center" wrapText="1"/>
    </xf>
    <xf numFmtId="0" fontId="124" fillId="5" borderId="29" xfId="0" applyFont="1" applyFill="1" applyBorder="1" applyAlignment="1">
      <alignment horizontal="center" vertical="center" wrapText="1"/>
    </xf>
    <xf numFmtId="217" fontId="122" fillId="0" borderId="102" xfId="0" applyNumberFormat="1" applyFont="1" applyBorder="1" applyAlignment="1">
      <alignment horizontal="center" vertical="center" shrinkToFit="1"/>
    </xf>
    <xf numFmtId="217" fontId="122" fillId="0" borderId="103" xfId="0" applyNumberFormat="1" applyFont="1" applyBorder="1" applyAlignment="1">
      <alignment horizontal="center" vertical="center" shrinkToFit="1"/>
    </xf>
    <xf numFmtId="217" fontId="122" fillId="0" borderId="104" xfId="0" applyNumberFormat="1" applyFont="1" applyBorder="1" applyAlignment="1">
      <alignment horizontal="center" vertical="center" shrinkToFit="1"/>
    </xf>
    <xf numFmtId="0" fontId="123" fillId="5" borderId="31" xfId="0" applyFont="1" applyFill="1" applyBorder="1" applyAlignment="1">
      <alignment horizontal="center" vertical="center" wrapText="1"/>
    </xf>
    <xf numFmtId="0" fontId="135" fillId="0" borderId="3" xfId="0" applyFont="1" applyBorder="1" applyAlignment="1">
      <alignment horizontal="center" vertical="center" wrapText="1"/>
    </xf>
    <xf numFmtId="0" fontId="135" fillId="0" borderId="119" xfId="0" applyFont="1" applyBorder="1" applyAlignment="1">
      <alignment horizontal="center" vertical="center" wrapText="1"/>
    </xf>
    <xf numFmtId="0" fontId="135" fillId="0" borderId="29" xfId="0" applyFont="1" applyBorder="1" applyAlignment="1">
      <alignment horizontal="center" vertical="center" wrapText="1"/>
    </xf>
    <xf numFmtId="0" fontId="135" fillId="0" borderId="15" xfId="0" applyFont="1" applyBorder="1" applyAlignment="1">
      <alignment horizontal="center" vertical="center" wrapText="1"/>
    </xf>
    <xf numFmtId="0" fontId="135" fillId="0" borderId="120" xfId="0" applyFont="1" applyBorder="1" applyAlignment="1">
      <alignment horizontal="center" vertical="center" wrapText="1"/>
    </xf>
    <xf numFmtId="217" fontId="122" fillId="0" borderId="98" xfId="0" applyNumberFormat="1" applyFont="1" applyBorder="1" applyAlignment="1">
      <alignment horizontal="center" vertical="center" shrinkToFit="1"/>
    </xf>
    <xf numFmtId="0" fontId="135" fillId="0" borderId="97" xfId="0" applyFont="1" applyBorder="1" applyAlignment="1">
      <alignment horizontal="center" vertical="center" shrinkToFit="1"/>
    </xf>
    <xf numFmtId="0" fontId="135" fillId="0" borderId="103" xfId="0" applyFont="1" applyBorder="1" applyAlignment="1">
      <alignment horizontal="center" vertical="center" shrinkToFit="1"/>
    </xf>
    <xf numFmtId="182" fontId="122" fillId="0" borderId="98" xfId="0" applyNumberFormat="1" applyFont="1" applyBorder="1" applyAlignment="1">
      <alignment horizontal="center" vertical="center" shrinkToFit="1"/>
    </xf>
    <xf numFmtId="182" fontId="135" fillId="0" borderId="97" xfId="0" applyNumberFormat="1" applyFont="1" applyBorder="1" applyAlignment="1">
      <alignment horizontal="center" vertical="center" shrinkToFit="1"/>
    </xf>
    <xf numFmtId="182" fontId="135" fillId="0" borderId="103" xfId="0" applyNumberFormat="1" applyFont="1" applyBorder="1" applyAlignment="1">
      <alignment horizontal="center" vertical="center" shrinkToFit="1"/>
    </xf>
    <xf numFmtId="173" fontId="121" fillId="0" borderId="44" xfId="0" applyNumberFormat="1" applyFont="1" applyBorder="1" applyAlignment="1" applyProtection="1">
      <alignment horizontal="center" vertical="center" shrinkToFit="1"/>
      <protection locked="0"/>
    </xf>
    <xf numFmtId="173" fontId="121" fillId="0" borderId="94" xfId="0" applyNumberFormat="1" applyFont="1" applyBorder="1" applyAlignment="1" applyProtection="1">
      <alignment horizontal="center" vertical="center" shrinkToFit="1"/>
      <protection locked="0"/>
    </xf>
    <xf numFmtId="0" fontId="135" fillId="0" borderId="113" xfId="0" applyFont="1" applyBorder="1" applyAlignment="1" applyProtection="1">
      <alignment horizontal="center" vertical="center" shrinkToFit="1"/>
      <protection locked="0"/>
    </xf>
    <xf numFmtId="173" fontId="122" fillId="0" borderId="46" xfId="0" applyNumberFormat="1" applyFont="1" applyBorder="1" applyAlignment="1">
      <alignment horizontal="center" vertical="center" shrinkToFit="1"/>
    </xf>
    <xf numFmtId="0" fontId="135" fillId="0" borderId="94" xfId="0" applyFont="1" applyBorder="1" applyAlignment="1">
      <alignment horizontal="center" vertical="center" shrinkToFit="1"/>
    </xf>
    <xf numFmtId="0" fontId="135" fillId="0" borderId="45" xfId="0" applyFont="1" applyBorder="1" applyAlignment="1">
      <alignment horizontal="center" vertical="center" shrinkToFit="1"/>
    </xf>
    <xf numFmtId="0" fontId="77" fillId="0" borderId="0" xfId="0" applyFont="1" applyAlignment="1">
      <alignment horizontal="center" vertical="center" shrinkToFit="1"/>
    </xf>
    <xf numFmtId="0" fontId="78" fillId="0" borderId="0" xfId="0" applyFont="1" applyAlignment="1">
      <alignment horizontal="center" vertical="center"/>
    </xf>
    <xf numFmtId="173" fontId="122" fillId="0" borderId="96" xfId="0" applyNumberFormat="1" applyFont="1" applyBorder="1" applyAlignment="1">
      <alignment horizontal="center" vertical="center" shrinkToFit="1"/>
    </xf>
    <xf numFmtId="173" fontId="122" fillId="0" borderId="30" xfId="0" applyNumberFormat="1" applyFont="1" applyBorder="1" applyAlignment="1">
      <alignment horizontal="center" vertical="center" shrinkToFit="1"/>
    </xf>
    <xf numFmtId="173" fontId="122" fillId="0" borderId="28" xfId="0" applyNumberFormat="1" applyFont="1" applyBorder="1" applyAlignment="1">
      <alignment horizontal="center" vertical="center" shrinkToFit="1"/>
    </xf>
    <xf numFmtId="0" fontId="123" fillId="5" borderId="121" xfId="0" applyFont="1" applyFill="1" applyBorder="1" applyAlignment="1">
      <alignment horizontal="center" vertical="center" wrapText="1"/>
    </xf>
    <xf numFmtId="0" fontId="123" fillId="5" borderId="15" xfId="0" applyFont="1" applyFill="1" applyBorder="1" applyAlignment="1">
      <alignment horizontal="center" vertical="center" wrapText="1"/>
    </xf>
    <xf numFmtId="0" fontId="124" fillId="5" borderId="15" xfId="0" applyFont="1" applyFill="1" applyBorder="1" applyAlignment="1">
      <alignment horizontal="center" vertical="center" wrapText="1"/>
    </xf>
    <xf numFmtId="217" fontId="120" fillId="0" borderId="102" xfId="0" applyNumberFormat="1" applyFont="1" applyBorder="1" applyAlignment="1">
      <alignment horizontal="center" vertical="center" shrinkToFit="1"/>
    </xf>
    <xf numFmtId="217" fontId="120" fillId="0" borderId="97" xfId="0" applyNumberFormat="1" applyFont="1" applyBorder="1" applyAlignment="1">
      <alignment horizontal="center" vertical="center" shrinkToFit="1"/>
    </xf>
    <xf numFmtId="217" fontId="120" fillId="0" borderId="109" xfId="0" applyNumberFormat="1" applyFont="1" applyBorder="1" applyAlignment="1">
      <alignment horizontal="center" vertical="center" shrinkToFit="1"/>
    </xf>
    <xf numFmtId="182" fontId="122" fillId="0" borderId="125" xfId="0" applyNumberFormat="1" applyFont="1" applyBorder="1" applyAlignment="1">
      <alignment horizontal="center" vertical="center" shrinkToFit="1"/>
    </xf>
    <xf numFmtId="182" fontId="122" fillId="0" borderId="97" xfId="0" applyNumberFormat="1" applyFont="1" applyBorder="1" applyAlignment="1">
      <alignment horizontal="center" vertical="center" shrinkToFit="1"/>
    </xf>
    <xf numFmtId="182" fontId="121" fillId="0" borderId="125" xfId="0" applyNumberFormat="1" applyFont="1" applyBorder="1" applyAlignment="1" applyProtection="1">
      <alignment horizontal="center" vertical="center" shrinkToFit="1"/>
      <protection locked="0"/>
    </xf>
    <xf numFmtId="182" fontId="121" fillId="0" borderId="97" xfId="0" applyNumberFormat="1" applyFont="1" applyBorder="1" applyAlignment="1" applyProtection="1">
      <alignment horizontal="center" vertical="center" shrinkToFit="1"/>
      <protection locked="0"/>
    </xf>
    <xf numFmtId="182" fontId="121" fillId="0" borderId="124" xfId="0" applyNumberFormat="1" applyFont="1" applyBorder="1" applyAlignment="1" applyProtection="1">
      <alignment horizontal="center" vertical="center" shrinkToFit="1"/>
      <protection locked="0"/>
    </xf>
    <xf numFmtId="0" fontId="26" fillId="3" borderId="15" xfId="0" quotePrefix="1" applyFont="1" applyFill="1" applyBorder="1" applyAlignment="1">
      <alignment horizontal="center" vertical="center"/>
    </xf>
    <xf numFmtId="0" fontId="26" fillId="3" borderId="15" xfId="0" applyFont="1" applyFill="1" applyBorder="1" applyAlignment="1">
      <alignment horizontal="center" vertical="center"/>
    </xf>
    <xf numFmtId="190" fontId="0" fillId="0" borderId="0" xfId="0" applyNumberFormat="1" applyAlignment="1">
      <alignment vertical="center"/>
    </xf>
    <xf numFmtId="0" fontId="203" fillId="3" borderId="117" xfId="0" applyFont="1" applyFill="1" applyBorder="1" applyAlignment="1">
      <alignment horizontal="center" vertical="center" shrinkToFit="1"/>
    </xf>
    <xf numFmtId="0" fontId="202" fillId="0" borderId="3" xfId="0" applyFont="1" applyBorder="1" applyAlignment="1">
      <alignment horizontal="center" vertical="center" shrinkToFit="1"/>
    </xf>
    <xf numFmtId="0" fontId="172" fillId="0" borderId="3" xfId="0" quotePrefix="1" applyFont="1" applyBorder="1" applyAlignment="1">
      <alignment horizontal="center" vertical="center" shrinkToFit="1"/>
    </xf>
    <xf numFmtId="0" fontId="188" fillId="0" borderId="3" xfId="0" applyFont="1" applyBorder="1" applyAlignment="1">
      <alignment horizontal="center" vertical="center" shrinkToFit="1"/>
    </xf>
    <xf numFmtId="0" fontId="188" fillId="0" borderId="24" xfId="0" applyFont="1" applyBorder="1" applyAlignment="1">
      <alignment horizontal="center" vertical="center" shrinkToFit="1"/>
    </xf>
    <xf numFmtId="292" fontId="118" fillId="0" borderId="17" xfId="0" applyNumberFormat="1" applyFont="1" applyBorder="1" applyAlignment="1">
      <alignment horizontal="center" vertical="center" shrinkToFit="1"/>
    </xf>
    <xf numFmtId="292" fontId="2" fillId="0" borderId="0" xfId="0" applyNumberFormat="1" applyFont="1" applyAlignment="1">
      <alignment horizontal="center" vertical="center" shrinkToFit="1"/>
    </xf>
    <xf numFmtId="0" fontId="125" fillId="3" borderId="0" xfId="0" applyFont="1" applyFill="1" applyAlignment="1">
      <alignment horizontal="center" vertical="center" wrapText="1"/>
    </xf>
    <xf numFmtId="0" fontId="124" fillId="0" borderId="0" xfId="0" applyFont="1" applyAlignment="1">
      <alignment horizontal="center" vertical="center" wrapText="1"/>
    </xf>
    <xf numFmtId="0" fontId="125" fillId="3" borderId="15" xfId="0" applyFont="1" applyFill="1" applyBorder="1" applyAlignment="1">
      <alignment horizontal="center" vertical="center" wrapText="1"/>
    </xf>
    <xf numFmtId="0" fontId="124" fillId="0" borderId="15" xfId="0" applyFont="1" applyBorder="1" applyAlignment="1">
      <alignment horizontal="center" vertical="center" wrapText="1"/>
    </xf>
    <xf numFmtId="0" fontId="169" fillId="0" borderId="62" xfId="0" applyFont="1" applyBorder="1" applyAlignment="1" applyProtection="1">
      <alignment horizontal="center" vertical="center" shrinkToFit="1"/>
      <protection locked="0"/>
    </xf>
    <xf numFmtId="0" fontId="169" fillId="0" borderId="138" xfId="0" applyFont="1" applyBorder="1" applyAlignment="1" applyProtection="1">
      <alignment horizontal="center" vertical="center" shrinkToFit="1"/>
      <protection locked="0"/>
    </xf>
    <xf numFmtId="0" fontId="169" fillId="0" borderId="142" xfId="0" applyFont="1" applyBorder="1" applyAlignment="1" applyProtection="1">
      <alignment horizontal="center" vertical="center" shrinkToFit="1"/>
      <protection locked="0"/>
    </xf>
    <xf numFmtId="0" fontId="24" fillId="3" borderId="107" xfId="0" applyFont="1" applyFill="1" applyBorder="1" applyAlignment="1">
      <alignment horizontal="center" vertical="center" shrinkToFit="1"/>
    </xf>
    <xf numFmtId="0" fontId="24" fillId="3" borderId="34" xfId="0" applyFont="1" applyFill="1" applyBorder="1" applyAlignment="1">
      <alignment horizontal="center" vertical="center" shrinkToFit="1"/>
    </xf>
    <xf numFmtId="280" fontId="121" fillId="0" borderId="175" xfId="0" applyNumberFormat="1" applyFont="1" applyBorder="1" applyAlignment="1" applyProtection="1">
      <alignment horizontal="center" vertical="center" shrinkToFit="1"/>
      <protection locked="0"/>
    </xf>
    <xf numFmtId="280" fontId="135" fillId="0" borderId="174" xfId="0" applyNumberFormat="1" applyFont="1" applyBorder="1" applyAlignment="1">
      <alignment horizontal="center" vertical="center" shrinkToFit="1"/>
    </xf>
    <xf numFmtId="199" fontId="120" fillId="0" borderId="3" xfId="0" applyNumberFormat="1" applyFont="1" applyBorder="1" applyAlignment="1">
      <alignment horizontal="left" vertical="center" shrinkToFit="1"/>
    </xf>
    <xf numFmtId="199" fontId="130" fillId="0" borderId="24" xfId="0" applyNumberFormat="1" applyFont="1" applyBorder="1" applyAlignment="1">
      <alignment horizontal="left" vertical="center" shrinkToFit="1"/>
    </xf>
    <xf numFmtId="0" fontId="123" fillId="2" borderId="29" xfId="0" applyFont="1" applyFill="1" applyBorder="1" applyAlignment="1">
      <alignment horizontal="center" vertical="center" shrinkToFit="1"/>
    </xf>
    <xf numFmtId="0" fontId="123" fillId="2" borderId="15" xfId="0" applyFont="1" applyFill="1" applyBorder="1" applyAlignment="1">
      <alignment horizontal="center" vertical="center" shrinkToFit="1"/>
    </xf>
    <xf numFmtId="0" fontId="123" fillId="2" borderId="120" xfId="0" applyFont="1" applyFill="1" applyBorder="1" applyAlignment="1">
      <alignment horizontal="center" vertical="center" shrinkToFit="1"/>
    </xf>
    <xf numFmtId="214" fontId="122" fillId="0" borderId="144" xfId="0" applyNumberFormat="1" applyFont="1" applyBorder="1" applyAlignment="1">
      <alignment horizontal="center" vertical="center" shrinkToFit="1"/>
    </xf>
    <xf numFmtId="214" fontId="135" fillId="0" borderId="173" xfId="0" applyNumberFormat="1" applyFont="1" applyBorder="1" applyAlignment="1">
      <alignment horizontal="center" vertical="center" shrinkToFit="1"/>
    </xf>
    <xf numFmtId="0" fontId="125" fillId="3" borderId="0" xfId="0" quotePrefix="1" applyFont="1" applyFill="1" applyAlignment="1">
      <alignment horizontal="justify" vertical="center" wrapText="1"/>
    </xf>
    <xf numFmtId="0" fontId="146" fillId="0" borderId="0" xfId="0" applyFont="1" applyAlignment="1">
      <alignment horizontal="justify" vertical="center" wrapText="1"/>
    </xf>
    <xf numFmtId="0" fontId="77" fillId="0" borderId="0" xfId="0" applyFont="1" applyAlignment="1">
      <alignment horizontal="center" vertical="center"/>
    </xf>
    <xf numFmtId="0" fontId="23" fillId="2" borderId="29" xfId="0" applyFont="1" applyFill="1" applyBorder="1" applyAlignment="1">
      <alignment horizontal="center" vertical="center" shrinkToFit="1"/>
    </xf>
    <xf numFmtId="0" fontId="22" fillId="0" borderId="15" xfId="0" applyFont="1" applyBorder="1" applyAlignment="1">
      <alignment horizontal="center" vertical="center" shrinkToFit="1"/>
    </xf>
    <xf numFmtId="214" fontId="122" fillId="0" borderId="172" xfId="0" applyNumberFormat="1" applyFont="1" applyBorder="1" applyAlignment="1">
      <alignment horizontal="center" vertical="center" shrinkToFit="1"/>
    </xf>
    <xf numFmtId="214" fontId="122" fillId="0" borderId="46" xfId="0" applyNumberFormat="1" applyFont="1" applyBorder="1" applyAlignment="1">
      <alignment horizontal="center" vertical="center" shrinkToFit="1"/>
    </xf>
    <xf numFmtId="214" fontId="135" fillId="0" borderId="94" xfId="0" applyNumberFormat="1" applyFont="1" applyBorder="1" applyAlignment="1">
      <alignment horizontal="center" vertical="center" shrinkToFit="1"/>
    </xf>
    <xf numFmtId="214" fontId="135" fillId="0" borderId="45" xfId="0" applyNumberFormat="1" applyFont="1" applyBorder="1" applyAlignment="1">
      <alignment horizontal="center" vertical="center" shrinkToFit="1"/>
    </xf>
    <xf numFmtId="0" fontId="123" fillId="2" borderId="0" xfId="0" quotePrefix="1" applyFont="1" applyFill="1" applyAlignment="1">
      <alignment horizontal="center" vertical="center" shrinkToFit="1"/>
    </xf>
    <xf numFmtId="0" fontId="135" fillId="0" borderId="0" xfId="0" applyFont="1" applyAlignment="1">
      <alignment horizontal="center" vertical="center" shrinkToFit="1"/>
    </xf>
    <xf numFmtId="0" fontId="135" fillId="0" borderId="16" xfId="0" applyFont="1" applyBorder="1" applyAlignment="1">
      <alignment horizontal="center" vertical="center" shrinkToFit="1"/>
    </xf>
    <xf numFmtId="0" fontId="123" fillId="2" borderId="17" xfId="0" applyFont="1" applyFill="1" applyBorder="1" applyAlignment="1">
      <alignment horizontal="justify" vertical="center" wrapText="1"/>
    </xf>
    <xf numFmtId="0" fontId="123" fillId="2" borderId="0" xfId="0" applyFont="1" applyFill="1" applyAlignment="1">
      <alignment horizontal="justify" vertical="center" wrapText="1"/>
    </xf>
    <xf numFmtId="0" fontId="123" fillId="2" borderId="16" xfId="0" applyFont="1" applyFill="1" applyBorder="1" applyAlignment="1">
      <alignment horizontal="justify" vertical="center" wrapText="1"/>
    </xf>
    <xf numFmtId="0" fontId="123" fillId="2" borderId="107" xfId="0" applyFont="1" applyFill="1" applyBorder="1" applyAlignment="1">
      <alignment horizontal="center" vertical="center" wrapText="1" shrinkToFit="1"/>
    </xf>
    <xf numFmtId="0" fontId="124" fillId="0" borderId="20" xfId="0" applyFont="1" applyBorder="1" applyAlignment="1">
      <alignment vertical="center"/>
    </xf>
    <xf numFmtId="0" fontId="122" fillId="0" borderId="107" xfId="0" applyFont="1" applyBorder="1" applyAlignment="1">
      <alignment horizontal="center" vertical="center" wrapText="1" shrinkToFit="1"/>
    </xf>
    <xf numFmtId="0" fontId="123" fillId="2" borderId="107" xfId="0" applyFont="1" applyFill="1" applyBorder="1" applyAlignment="1">
      <alignment horizontal="center" vertical="center"/>
    </xf>
    <xf numFmtId="0" fontId="124" fillId="0" borderId="107" xfId="0" applyFont="1" applyBorder="1" applyAlignment="1">
      <alignment horizontal="center" vertical="center"/>
    </xf>
    <xf numFmtId="0" fontId="155" fillId="2" borderId="107" xfId="0" applyFont="1" applyFill="1" applyBorder="1" applyAlignment="1">
      <alignment horizontal="center" vertical="center" shrinkToFit="1"/>
    </xf>
    <xf numFmtId="0" fontId="135" fillId="0" borderId="20" xfId="0" applyFont="1" applyBorder="1" applyAlignment="1">
      <alignment vertical="center"/>
    </xf>
    <xf numFmtId="0" fontId="125" fillId="3" borderId="0" xfId="0" applyFont="1" applyFill="1" applyAlignment="1">
      <alignment horizontal="justify" vertical="center" wrapText="1"/>
    </xf>
    <xf numFmtId="309" fontId="122" fillId="0" borderId="49" xfId="0" applyNumberFormat="1" applyFont="1" applyBorder="1" applyAlignment="1">
      <alignment horizontal="center" vertical="center" shrinkToFit="1"/>
    </xf>
    <xf numFmtId="309" fontId="122" fillId="0" borderId="41" xfId="0" applyNumberFormat="1" applyFont="1" applyBorder="1" applyAlignment="1">
      <alignment horizontal="center" vertical="center" shrinkToFit="1"/>
    </xf>
    <xf numFmtId="170" fontId="93" fillId="0" borderId="142" xfId="0" applyNumberFormat="1" applyFont="1" applyBorder="1" applyAlignment="1">
      <alignment horizontal="center" vertical="center" shrinkToFit="1"/>
    </xf>
    <xf numFmtId="170" fontId="93" fillId="0" borderId="20" xfId="0" applyNumberFormat="1" applyFont="1" applyBorder="1" applyAlignment="1">
      <alignment horizontal="center" vertical="center" shrinkToFit="1"/>
    </xf>
    <xf numFmtId="308" fontId="93" fillId="0" borderId="107" xfId="0" applyNumberFormat="1" applyFont="1" applyBorder="1" applyAlignment="1">
      <alignment horizontal="center" vertical="center" shrinkToFit="1"/>
    </xf>
    <xf numFmtId="0" fontId="93" fillId="0" borderId="34" xfId="0" applyFont="1" applyBorder="1" applyAlignment="1">
      <alignment horizontal="center" vertical="center" shrinkToFit="1"/>
    </xf>
    <xf numFmtId="0" fontId="54" fillId="5" borderId="31" xfId="0" applyFont="1" applyFill="1" applyBorder="1" applyAlignment="1">
      <alignment horizontal="center" vertical="center" wrapText="1"/>
    </xf>
    <xf numFmtId="0" fontId="55" fillId="5" borderId="3"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55" fillId="5" borderId="0" xfId="0" applyFont="1" applyFill="1" applyAlignment="1">
      <alignment horizontal="center" vertical="center" wrapText="1"/>
    </xf>
    <xf numFmtId="0" fontId="55" fillId="5" borderId="16" xfId="0" applyFont="1" applyFill="1" applyBorder="1" applyAlignment="1">
      <alignment horizontal="center" vertical="center" wrapText="1"/>
    </xf>
    <xf numFmtId="0" fontId="0" fillId="5" borderId="29" xfId="0" applyFill="1" applyBorder="1" applyAlignment="1">
      <alignment horizontal="center" vertical="center"/>
    </xf>
    <xf numFmtId="0" fontId="0" fillId="5" borderId="15" xfId="0" applyFill="1" applyBorder="1" applyAlignment="1">
      <alignment horizontal="center" vertical="center"/>
    </xf>
    <xf numFmtId="0" fontId="0" fillId="5" borderId="30" xfId="0" applyFill="1" applyBorder="1" applyAlignment="1">
      <alignment horizontal="center" vertical="center"/>
    </xf>
    <xf numFmtId="0" fontId="133" fillId="3" borderId="11" xfId="0" applyFont="1" applyFill="1" applyBorder="1" applyAlignment="1">
      <alignment horizontal="center" vertical="center" shrinkToFit="1"/>
    </xf>
    <xf numFmtId="0" fontId="124" fillId="0" borderId="11" xfId="0" applyFont="1" applyBorder="1" applyAlignment="1">
      <alignment horizontal="center" vertical="center" shrinkToFit="1"/>
    </xf>
    <xf numFmtId="0" fontId="124" fillId="0" borderId="13" xfId="0" applyFont="1" applyBorder="1" applyAlignment="1">
      <alignment horizontal="center" vertical="center" shrinkToFit="1"/>
    </xf>
    <xf numFmtId="0" fontId="123" fillId="5" borderId="29" xfId="0" quotePrefix="1" applyFont="1" applyFill="1" applyBorder="1" applyAlignment="1">
      <alignment horizontal="left" vertical="justify"/>
    </xf>
    <xf numFmtId="0" fontId="124" fillId="0" borderId="15" xfId="0" applyFont="1" applyBorder="1" applyAlignment="1">
      <alignment horizontal="justify" vertical="justify"/>
    </xf>
    <xf numFmtId="209" fontId="120" fillId="0" borderId="101" xfId="0" applyNumberFormat="1" applyFont="1" applyBorder="1" applyAlignment="1">
      <alignment horizontal="center" vertical="center" shrinkToFit="1"/>
    </xf>
    <xf numFmtId="209" fontId="130" fillId="0" borderId="101" xfId="0" applyNumberFormat="1" applyFont="1" applyBorder="1" applyAlignment="1">
      <alignment horizontal="center" vertical="center" shrinkToFit="1"/>
    </xf>
    <xf numFmtId="299" fontId="120" fillId="0" borderId="107" xfId="0" applyNumberFormat="1" applyFont="1" applyBorder="1" applyAlignment="1">
      <alignment horizontal="center" vertical="center" shrinkToFit="1"/>
    </xf>
    <xf numFmtId="299" fontId="120" fillId="0" borderId="34" xfId="0" applyNumberFormat="1" applyFont="1" applyBorder="1" applyAlignment="1">
      <alignment horizontal="center" vertical="center" shrinkToFit="1"/>
    </xf>
    <xf numFmtId="0" fontId="17" fillId="8" borderId="107" xfId="0" applyFont="1" applyFill="1" applyBorder="1" applyAlignment="1">
      <alignment horizontal="center" vertical="center" shrinkToFit="1"/>
    </xf>
    <xf numFmtId="0" fontId="18" fillId="8" borderId="34" xfId="0" applyFont="1" applyFill="1" applyBorder="1" applyAlignment="1">
      <alignment horizontal="center" vertical="center" shrinkToFit="1"/>
    </xf>
    <xf numFmtId="0" fontId="78" fillId="0" borderId="34" xfId="0" applyFont="1" applyBorder="1" applyAlignment="1">
      <alignment horizontal="center" vertical="center" shrinkToFit="1"/>
    </xf>
    <xf numFmtId="0" fontId="78" fillId="0" borderId="20" xfId="0" applyFont="1" applyBorder="1" applyAlignment="1">
      <alignment horizontal="center" vertical="center" shrinkToFit="1"/>
    </xf>
    <xf numFmtId="0" fontId="87" fillId="3" borderId="15" xfId="0" quotePrefix="1" applyFont="1" applyFill="1" applyBorder="1" applyAlignment="1">
      <alignment horizontal="center" vertical="center" wrapText="1"/>
    </xf>
    <xf numFmtId="0" fontId="87" fillId="3" borderId="15" xfId="0" applyFont="1" applyFill="1" applyBorder="1" applyAlignment="1">
      <alignment horizontal="center" vertical="center" wrapText="1"/>
    </xf>
    <xf numFmtId="0" fontId="71" fillId="0" borderId="79" xfId="0" applyFont="1" applyBorder="1" applyAlignment="1" applyProtection="1">
      <alignment horizontal="center" vertical="center" shrinkToFit="1"/>
      <protection locked="0"/>
    </xf>
    <xf numFmtId="0" fontId="11" fillId="0" borderId="99" xfId="0" applyFont="1" applyBorder="1"/>
    <xf numFmtId="0" fontId="11" fillId="0" borderId="81" xfId="0" applyFont="1" applyBorder="1"/>
    <xf numFmtId="0" fontId="154" fillId="5" borderId="1" xfId="0" quotePrefix="1" applyFont="1" applyFill="1" applyBorder="1" applyAlignment="1">
      <alignment horizontal="center" vertical="center" shrinkToFit="1"/>
    </xf>
    <xf numFmtId="0" fontId="154" fillId="5" borderId="38" xfId="0" applyFont="1" applyFill="1" applyBorder="1" applyAlignment="1">
      <alignment horizontal="center" vertical="center" shrinkToFit="1"/>
    </xf>
    <xf numFmtId="0" fontId="44" fillId="3" borderId="15" xfId="0" applyFont="1" applyFill="1" applyBorder="1" applyAlignment="1">
      <alignment horizontal="left" vertical="center" shrinkToFit="1"/>
    </xf>
    <xf numFmtId="0" fontId="44" fillId="0" borderId="15" xfId="0" applyFont="1" applyBorder="1" applyAlignment="1">
      <alignment horizontal="left" vertical="center" shrinkToFit="1"/>
    </xf>
    <xf numFmtId="0" fontId="137" fillId="5" borderId="110" xfId="0" applyFont="1" applyFill="1" applyBorder="1" applyAlignment="1">
      <alignment horizontal="center" vertical="center" shrinkToFit="1"/>
    </xf>
    <xf numFmtId="0" fontId="137" fillId="5" borderId="45" xfId="0" applyFont="1" applyFill="1" applyBorder="1" applyAlignment="1">
      <alignment horizontal="center" vertical="center" shrinkToFit="1"/>
    </xf>
    <xf numFmtId="194" fontId="122" fillId="0" borderId="106" xfId="0" applyNumberFormat="1" applyFont="1" applyBorder="1" applyAlignment="1">
      <alignment horizontal="center" vertical="center" shrinkToFit="1"/>
    </xf>
    <xf numFmtId="194" fontId="0" fillId="0" borderId="34" xfId="0" applyNumberFormat="1" applyBorder="1" applyAlignment="1">
      <alignment horizontal="center" vertical="center" shrinkToFit="1"/>
    </xf>
    <xf numFmtId="194" fontId="122" fillId="0" borderId="107" xfId="0" applyNumberFormat="1" applyFont="1" applyBorder="1" applyAlignment="1">
      <alignment horizontal="center" vertical="center" shrinkToFit="1"/>
    </xf>
    <xf numFmtId="194" fontId="0" fillId="0" borderId="20" xfId="0" applyNumberFormat="1" applyBorder="1" applyAlignment="1">
      <alignment horizontal="center" vertical="center" shrinkToFit="1"/>
    </xf>
    <xf numFmtId="0" fontId="111" fillId="3" borderId="34" xfId="0" quotePrefix="1" applyFont="1" applyFill="1" applyBorder="1" applyAlignment="1">
      <alignment horizontal="center"/>
    </xf>
    <xf numFmtId="0" fontId="110" fillId="3" borderId="34" xfId="0" applyFont="1" applyFill="1" applyBorder="1" applyAlignment="1">
      <alignment horizontal="center"/>
    </xf>
    <xf numFmtId="0" fontId="110" fillId="3" borderId="15" xfId="0" applyFont="1" applyFill="1" applyBorder="1" applyAlignment="1">
      <alignment horizontal="center"/>
    </xf>
    <xf numFmtId="0" fontId="125" fillId="3" borderId="0" xfId="0" applyFont="1" applyFill="1" applyAlignment="1">
      <alignment vertical="justify" shrinkToFit="1"/>
    </xf>
    <xf numFmtId="177" fontId="150" fillId="3" borderId="37" xfId="3" applyNumberFormat="1" applyFont="1" applyFill="1" applyBorder="1" applyAlignment="1" applyProtection="1">
      <alignment horizontal="center" vertical="center" shrinkToFit="1"/>
    </xf>
    <xf numFmtId="0" fontId="135" fillId="0" borderId="43" xfId="0" applyFont="1" applyBorder="1" applyAlignment="1">
      <alignment horizontal="center" vertical="center" shrinkToFit="1"/>
    </xf>
    <xf numFmtId="0" fontId="135" fillId="0" borderId="38" xfId="0" applyFont="1" applyBorder="1" applyAlignment="1">
      <alignment horizontal="center" vertical="center" shrinkToFit="1"/>
    </xf>
    <xf numFmtId="0" fontId="133" fillId="3" borderId="114" xfId="0" applyFont="1" applyFill="1" applyBorder="1" applyAlignment="1">
      <alignment horizontal="center" vertical="center" shrinkToFit="1"/>
    </xf>
    <xf numFmtId="0" fontId="133" fillId="3" borderId="94" xfId="0" applyFont="1" applyFill="1" applyBorder="1" applyAlignment="1">
      <alignment horizontal="center" vertical="center" shrinkToFit="1"/>
    </xf>
    <xf numFmtId="0" fontId="133" fillId="3" borderId="126" xfId="0" applyFont="1" applyFill="1" applyBorder="1" applyAlignment="1">
      <alignment horizontal="center" vertical="center" shrinkToFit="1"/>
    </xf>
    <xf numFmtId="0" fontId="54" fillId="5" borderId="3" xfId="0" applyFont="1" applyFill="1" applyBorder="1" applyAlignment="1">
      <alignment horizontal="center" vertical="center" wrapText="1"/>
    </xf>
    <xf numFmtId="0" fontId="54" fillId="5" borderId="24" xfId="0" applyFont="1" applyFill="1" applyBorder="1" applyAlignment="1">
      <alignment horizontal="center" vertical="center" wrapText="1"/>
    </xf>
    <xf numFmtId="0" fontId="56" fillId="5" borderId="29" xfId="0" applyFont="1" applyFill="1" applyBorder="1" applyAlignment="1">
      <alignment horizontal="center" vertical="center" wrapText="1"/>
    </xf>
    <xf numFmtId="0" fontId="56" fillId="5" borderId="15" xfId="0" applyFont="1" applyFill="1" applyBorder="1" applyAlignment="1">
      <alignment horizontal="center" vertical="center" wrapText="1"/>
    </xf>
    <xf numFmtId="0" fontId="56" fillId="5" borderId="30" xfId="0" applyFont="1" applyFill="1" applyBorder="1" applyAlignment="1">
      <alignment horizontal="center" vertical="center" wrapText="1"/>
    </xf>
    <xf numFmtId="182" fontId="194" fillId="0" borderId="105" xfId="0" applyNumberFormat="1" applyFont="1" applyBorder="1" applyAlignment="1" applyProtection="1">
      <alignment horizontal="center" vertical="center" shrinkToFit="1"/>
      <protection locked="0"/>
    </xf>
    <xf numFmtId="182" fontId="194" fillId="0" borderId="43" xfId="0" applyNumberFormat="1" applyFont="1" applyBorder="1" applyAlignment="1" applyProtection="1">
      <alignment horizontal="center" vertical="center" shrinkToFit="1"/>
      <protection locked="0"/>
    </xf>
    <xf numFmtId="182" fontId="194" fillId="0" borderId="123" xfId="0" applyNumberFormat="1" applyFont="1" applyBorder="1" applyAlignment="1" applyProtection="1">
      <alignment horizontal="center" vertical="center" shrinkToFit="1"/>
      <protection locked="0"/>
    </xf>
    <xf numFmtId="207" fontId="194" fillId="0" borderId="102" xfId="0" applyNumberFormat="1" applyFont="1" applyBorder="1" applyAlignment="1" applyProtection="1">
      <alignment horizontal="center" vertical="center" shrinkToFit="1"/>
      <protection locked="0"/>
    </xf>
    <xf numFmtId="207" fontId="194" fillId="0" borderId="97" xfId="0" applyNumberFormat="1" applyFont="1" applyBorder="1" applyAlignment="1" applyProtection="1">
      <alignment horizontal="center" vertical="center" shrinkToFit="1"/>
      <protection locked="0"/>
    </xf>
    <xf numFmtId="207" fontId="195" fillId="0" borderId="109" xfId="0" applyNumberFormat="1" applyFont="1" applyBorder="1" applyAlignment="1" applyProtection="1">
      <alignment horizontal="center" vertical="center" shrinkToFit="1"/>
      <protection locked="0"/>
    </xf>
    <xf numFmtId="171" fontId="123" fillId="5" borderId="52" xfId="0" applyNumberFormat="1" applyFont="1" applyFill="1" applyBorder="1" applyAlignment="1">
      <alignment horizontal="center" vertical="center" shrinkToFit="1"/>
    </xf>
    <xf numFmtId="171" fontId="123" fillId="5" borderId="97" xfId="0" applyNumberFormat="1" applyFont="1" applyFill="1" applyBorder="1" applyAlignment="1">
      <alignment horizontal="center" vertical="center" shrinkToFit="1"/>
    </xf>
    <xf numFmtId="0" fontId="124" fillId="5" borderId="97" xfId="0" applyFont="1" applyFill="1" applyBorder="1" applyAlignment="1">
      <alignment horizontal="center" vertical="center" shrinkToFit="1"/>
    </xf>
    <xf numFmtId="0" fontId="139" fillId="3" borderId="31" xfId="0" quotePrefix="1" applyFont="1" applyFill="1" applyBorder="1" applyAlignment="1">
      <alignment horizontal="center" vertical="center" shrinkToFit="1"/>
    </xf>
    <xf numFmtId="0" fontId="135" fillId="0" borderId="24" xfId="0" applyFont="1" applyBorder="1" applyAlignment="1">
      <alignment horizontal="center" vertical="center" shrinkToFit="1"/>
    </xf>
    <xf numFmtId="0" fontId="123" fillId="5" borderId="31" xfId="0" quotePrefix="1" applyFont="1" applyFill="1" applyBorder="1" applyAlignment="1">
      <alignment horizontal="left" vertical="center"/>
    </xf>
    <xf numFmtId="0" fontId="122" fillId="0" borderId="3" xfId="0" applyFont="1" applyBorder="1" applyAlignment="1">
      <alignment horizontal="justify" vertical="center"/>
    </xf>
    <xf numFmtId="0" fontId="12" fillId="2" borderId="107" xfId="0" quotePrefix="1" applyFont="1" applyFill="1" applyBorder="1" applyAlignment="1">
      <alignment horizontal="center" vertical="center" shrinkToFit="1"/>
    </xf>
    <xf numFmtId="0" fontId="11" fillId="0" borderId="34" xfId="0" applyFont="1" applyBorder="1" applyAlignment="1">
      <alignment horizontal="center" vertical="center" shrinkToFit="1"/>
    </xf>
    <xf numFmtId="0" fontId="0" fillId="0" borderId="20" xfId="0" applyBorder="1" applyAlignment="1">
      <alignment horizontal="center" vertical="center" shrinkToFit="1"/>
    </xf>
    <xf numFmtId="229" fontId="120" fillId="0" borderId="37" xfId="0" applyNumberFormat="1" applyFont="1" applyBorder="1" applyAlignment="1">
      <alignment horizontal="center" vertical="center"/>
    </xf>
    <xf numFmtId="229" fontId="124" fillId="0" borderId="43" xfId="0" applyNumberFormat="1" applyFont="1" applyBorder="1" applyAlignment="1">
      <alignment horizontal="center" vertical="center"/>
    </xf>
    <xf numFmtId="229" fontId="124" fillId="0" borderId="38" xfId="0" applyNumberFormat="1" applyFont="1" applyBorder="1" applyAlignment="1">
      <alignment horizontal="center" vertical="center"/>
    </xf>
    <xf numFmtId="175" fontId="121" fillId="0" borderId="1" xfId="0" applyNumberFormat="1" applyFont="1" applyBorder="1" applyAlignment="1" applyProtection="1">
      <alignment horizontal="center" vertical="center" shrinkToFit="1"/>
      <protection locked="0"/>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238" fontId="122" fillId="0" borderId="114" xfId="0" applyNumberFormat="1" applyFont="1" applyBorder="1" applyAlignment="1">
      <alignment horizontal="center" vertical="center" shrinkToFit="1"/>
    </xf>
    <xf numFmtId="238" fontId="122" fillId="0" borderId="45" xfId="0" applyNumberFormat="1" applyFont="1" applyBorder="1" applyAlignment="1">
      <alignment horizontal="center" vertical="center" shrinkToFit="1"/>
    </xf>
    <xf numFmtId="238" fontId="122" fillId="0" borderId="115" xfId="0" applyNumberFormat="1" applyFont="1" applyBorder="1" applyAlignment="1">
      <alignment horizontal="center" vertical="center" shrinkToFit="1"/>
    </xf>
    <xf numFmtId="239" fontId="121" fillId="0" borderId="1" xfId="0" applyNumberFormat="1" applyFont="1" applyBorder="1" applyAlignment="1" applyProtection="1">
      <alignment horizontal="center" vertical="center" shrinkToFit="1"/>
      <protection locked="0"/>
    </xf>
    <xf numFmtId="0" fontId="135" fillId="0" borderId="43" xfId="0" applyFont="1" applyBorder="1"/>
    <xf numFmtId="0" fontId="135" fillId="0" borderId="38" xfId="0" applyFont="1" applyBorder="1"/>
    <xf numFmtId="0" fontId="157" fillId="3" borderId="34" xfId="0" applyFont="1" applyFill="1" applyBorder="1" applyAlignment="1">
      <alignment horizontal="center" vertical="center" wrapText="1" shrinkToFit="1"/>
    </xf>
    <xf numFmtId="0" fontId="158" fillId="0" borderId="34" xfId="0" applyFont="1" applyBorder="1" applyAlignment="1">
      <alignment horizontal="center" vertical="center" wrapText="1"/>
    </xf>
    <xf numFmtId="0" fontId="123" fillId="5" borderId="29" xfId="0" applyFont="1" applyFill="1" applyBorder="1" applyAlignment="1">
      <alignment horizontal="center" vertical="center" shrinkToFit="1"/>
    </xf>
    <xf numFmtId="0" fontId="123" fillId="5" borderId="15" xfId="0" applyFont="1" applyFill="1" applyBorder="1" applyAlignment="1">
      <alignment horizontal="center" vertical="center" shrinkToFit="1"/>
    </xf>
    <xf numFmtId="0" fontId="122" fillId="5" borderId="15" xfId="0" applyFont="1" applyFill="1" applyBorder="1" applyAlignment="1">
      <alignment horizontal="center" vertical="center" shrinkToFit="1"/>
    </xf>
    <xf numFmtId="242" fontId="122" fillId="0" borderId="46" xfId="0" applyNumberFormat="1" applyFont="1" applyBorder="1" applyAlignment="1">
      <alignment horizontal="center" vertical="center" shrinkToFit="1"/>
    </xf>
    <xf numFmtId="242" fontId="135" fillId="0" borderId="94" xfId="0" applyNumberFormat="1" applyFont="1" applyBorder="1" applyAlignment="1">
      <alignment horizontal="center" vertical="center" shrinkToFit="1"/>
    </xf>
    <xf numFmtId="242" fontId="135" fillId="0" borderId="45" xfId="0" applyNumberFormat="1" applyFont="1" applyBorder="1" applyAlignment="1">
      <alignment horizontal="center" vertical="center" shrinkToFit="1"/>
    </xf>
    <xf numFmtId="229" fontId="120" fillId="0" borderId="46" xfId="0" applyNumberFormat="1" applyFont="1" applyBorder="1" applyAlignment="1">
      <alignment horizontal="center" vertical="center"/>
    </xf>
    <xf numFmtId="229" fontId="124" fillId="0" borderId="94" xfId="0" applyNumberFormat="1" applyFont="1" applyBorder="1" applyAlignment="1">
      <alignment horizontal="center" vertical="center"/>
    </xf>
    <xf numFmtId="229" fontId="124" fillId="0" borderId="45" xfId="0" applyNumberFormat="1" applyFont="1" applyBorder="1" applyAlignment="1">
      <alignment horizontal="center" vertical="center"/>
    </xf>
    <xf numFmtId="237" fontId="122" fillId="0" borderId="105" xfId="0" applyNumberFormat="1" applyFont="1" applyBorder="1" applyAlignment="1">
      <alignment horizontal="center" vertical="center" shrinkToFit="1"/>
    </xf>
    <xf numFmtId="237" fontId="122" fillId="0" borderId="43" xfId="0" applyNumberFormat="1" applyFont="1" applyBorder="1" applyAlignment="1">
      <alignment horizontal="center" vertical="center" shrinkToFit="1"/>
    </xf>
    <xf numFmtId="237" fontId="122" fillId="0" borderId="123" xfId="0" applyNumberFormat="1" applyFont="1" applyBorder="1" applyAlignment="1">
      <alignment horizontal="center" vertical="center" shrinkToFit="1"/>
    </xf>
    <xf numFmtId="178" fontId="122" fillId="0" borderId="37" xfId="0" applyNumberFormat="1" applyFont="1" applyBorder="1" applyAlignment="1">
      <alignment horizontal="center" vertical="center"/>
    </xf>
    <xf numFmtId="178" fontId="122" fillId="0" borderId="43" xfId="0" applyNumberFormat="1" applyFont="1" applyBorder="1" applyAlignment="1">
      <alignment horizontal="center" vertical="center"/>
    </xf>
    <xf numFmtId="178" fontId="122" fillId="0" borderId="38" xfId="0" applyNumberFormat="1" applyFont="1" applyBorder="1" applyAlignment="1">
      <alignment horizontal="center" vertical="center"/>
    </xf>
    <xf numFmtId="224" fontId="120" fillId="0" borderId="105" xfId="0" applyNumberFormat="1" applyFont="1" applyBorder="1" applyAlignment="1">
      <alignment horizontal="center" vertical="center" shrinkToFit="1"/>
    </xf>
    <xf numFmtId="224" fontId="120" fillId="0" borderId="43" xfId="0" applyNumberFormat="1" applyFont="1" applyBorder="1" applyAlignment="1">
      <alignment horizontal="center" vertical="center" shrinkToFit="1"/>
    </xf>
    <xf numFmtId="224" fontId="120" fillId="0" borderId="123" xfId="0" applyNumberFormat="1" applyFont="1" applyBorder="1" applyAlignment="1">
      <alignment horizontal="center" vertical="center" shrinkToFit="1"/>
    </xf>
    <xf numFmtId="241" fontId="122" fillId="0" borderId="106" xfId="0" applyNumberFormat="1" applyFont="1" applyBorder="1" applyAlignment="1">
      <alignment horizontal="center" vertical="center" shrinkToFit="1"/>
    </xf>
    <xf numFmtId="241" fontId="122" fillId="0" borderId="34" xfId="0" applyNumberFormat="1" applyFont="1" applyBorder="1" applyAlignment="1">
      <alignment horizontal="center" vertical="center" shrinkToFit="1"/>
    </xf>
    <xf numFmtId="177" fontId="122" fillId="0" borderId="37" xfId="0" applyNumberFormat="1" applyFont="1" applyBorder="1" applyAlignment="1">
      <alignment horizontal="center" vertical="center" shrinkToFit="1"/>
    </xf>
    <xf numFmtId="0" fontId="0" fillId="0" borderId="134" xfId="0" applyBorder="1" applyAlignment="1">
      <alignment horizontal="center" vertical="center" shrinkToFit="1"/>
    </xf>
    <xf numFmtId="0" fontId="123" fillId="5" borderId="108" xfId="0" applyFont="1" applyFill="1" applyBorder="1" applyAlignment="1">
      <alignment horizontal="center" vertical="center" shrinkToFit="1"/>
    </xf>
    <xf numFmtId="0" fontId="123" fillId="5" borderId="3" xfId="0" applyFont="1" applyFill="1" applyBorder="1" applyAlignment="1">
      <alignment horizontal="center" vertical="center" shrinkToFit="1"/>
    </xf>
    <xf numFmtId="0" fontId="124" fillId="5" borderId="3" xfId="0" applyFont="1" applyFill="1" applyBorder="1" applyAlignment="1">
      <alignment horizontal="center" vertical="center" shrinkToFit="1"/>
    </xf>
    <xf numFmtId="165" fontId="133" fillId="3" borderId="102" xfId="0" applyNumberFormat="1" applyFont="1" applyFill="1" applyBorder="1" applyAlignment="1">
      <alignment horizontal="center" vertical="center" shrinkToFit="1"/>
    </xf>
    <xf numFmtId="165" fontId="133" fillId="3" borderId="103" xfId="0" applyNumberFormat="1" applyFont="1" applyFill="1" applyBorder="1" applyAlignment="1">
      <alignment horizontal="center" vertical="center" shrinkToFit="1"/>
    </xf>
    <xf numFmtId="0" fontId="147" fillId="0" borderId="104" xfId="0" applyFont="1" applyBorder="1" applyAlignment="1">
      <alignment horizontal="center" vertical="center" shrinkToFit="1"/>
    </xf>
    <xf numFmtId="0" fontId="123" fillId="5" borderId="122" xfId="0" applyFont="1" applyFill="1" applyBorder="1" applyAlignment="1">
      <alignment horizontal="left" vertical="center" shrinkToFit="1"/>
    </xf>
    <xf numFmtId="0" fontId="123" fillId="5" borderId="0" xfId="0" applyFont="1" applyFill="1" applyAlignment="1">
      <alignment horizontal="left" vertical="center" shrinkToFit="1"/>
    </xf>
    <xf numFmtId="0" fontId="122" fillId="5" borderId="0" xfId="0" applyFont="1" applyFill="1" applyAlignment="1">
      <alignment horizontal="left" vertical="center" shrinkToFit="1"/>
    </xf>
    <xf numFmtId="0" fontId="123" fillId="5" borderId="110" xfId="0" applyFont="1" applyFill="1" applyBorder="1" applyAlignment="1">
      <alignment horizontal="center" vertical="center" shrinkToFit="1"/>
    </xf>
    <xf numFmtId="0" fontId="123" fillId="5" borderId="94" xfId="0" applyFont="1" applyFill="1" applyBorder="1" applyAlignment="1">
      <alignment horizontal="center" vertical="center" shrinkToFit="1"/>
    </xf>
    <xf numFmtId="0" fontId="124" fillId="5" borderId="94" xfId="0" applyFont="1" applyFill="1" applyBorder="1" applyAlignment="1">
      <alignment horizontal="center" vertical="center" shrinkToFit="1"/>
    </xf>
    <xf numFmtId="0" fontId="123" fillId="5" borderId="1" xfId="0" applyFont="1" applyFill="1" applyBorder="1" applyAlignment="1">
      <alignment horizontal="center" vertical="center" shrinkToFit="1"/>
    </xf>
    <xf numFmtId="0" fontId="123" fillId="5" borderId="43" xfId="0" applyFont="1" applyFill="1" applyBorder="1" applyAlignment="1">
      <alignment horizontal="center" vertical="center" shrinkToFit="1"/>
    </xf>
    <xf numFmtId="0" fontId="124" fillId="5" borderId="43" xfId="0" applyFont="1" applyFill="1" applyBorder="1" applyAlignment="1">
      <alignment horizontal="center" vertical="center" shrinkToFit="1"/>
    </xf>
    <xf numFmtId="0" fontId="71" fillId="0" borderId="1" xfId="0" applyFont="1" applyBorder="1" applyAlignment="1" applyProtection="1">
      <alignment horizontal="center" vertical="center" shrinkToFit="1"/>
      <protection locked="0"/>
    </xf>
    <xf numFmtId="0" fontId="86" fillId="0" borderId="43" xfId="0" applyFont="1" applyBorder="1" applyAlignment="1" applyProtection="1">
      <alignment horizontal="center" vertical="center" shrinkToFit="1"/>
      <protection locked="0"/>
    </xf>
    <xf numFmtId="0" fontId="71" fillId="0" borderId="43" xfId="0" applyFont="1" applyBorder="1" applyAlignment="1" applyProtection="1">
      <alignment horizontal="center" vertical="center" shrinkToFit="1"/>
      <protection locked="0"/>
    </xf>
    <xf numFmtId="0" fontId="84" fillId="0" borderId="43" xfId="0" applyFont="1" applyBorder="1" applyAlignment="1" applyProtection="1">
      <alignment horizontal="center" vertical="center" shrinkToFit="1"/>
      <protection locked="0"/>
    </xf>
    <xf numFmtId="0" fontId="84" fillId="0" borderId="38" xfId="0" applyFont="1" applyBorder="1" applyAlignment="1" applyProtection="1">
      <alignment horizontal="center" vertical="center" shrinkToFit="1"/>
      <protection locked="0"/>
    </xf>
    <xf numFmtId="0" fontId="184" fillId="0" borderId="0" xfId="0" applyFont="1" applyAlignment="1">
      <alignment horizontal="center" vertical="center" shrinkToFit="1"/>
    </xf>
    <xf numFmtId="177" fontId="174" fillId="5" borderId="30" xfId="0" applyNumberFormat="1" applyFont="1" applyFill="1" applyBorder="1" applyAlignment="1">
      <alignment horizontal="center" vertical="center" shrinkToFit="1"/>
    </xf>
    <xf numFmtId="177" fontId="122" fillId="0" borderId="36" xfId="0" applyNumberFormat="1" applyFont="1" applyBorder="1" applyAlignment="1">
      <alignment horizontal="center" vertical="center" shrinkToFit="1"/>
    </xf>
    <xf numFmtId="177" fontId="122" fillId="0" borderId="69" xfId="0" applyNumberFormat="1" applyFont="1" applyBorder="1" applyAlignment="1">
      <alignment horizontal="center" vertical="center" shrinkToFit="1"/>
    </xf>
    <xf numFmtId="0" fontId="16" fillId="5" borderId="31" xfId="0" applyFont="1" applyFill="1" applyBorder="1" applyAlignment="1">
      <alignment horizontal="center" vertical="center" shrinkToFit="1"/>
    </xf>
    <xf numFmtId="0" fontId="57" fillId="5" borderId="3" xfId="0" applyFont="1" applyFill="1" applyBorder="1" applyAlignment="1">
      <alignment horizontal="center" vertical="center" shrinkToFit="1"/>
    </xf>
    <xf numFmtId="0" fontId="57" fillId="5" borderId="24" xfId="0" applyFont="1" applyFill="1" applyBorder="1" applyAlignment="1">
      <alignment horizontal="center" vertical="center" shrinkToFit="1"/>
    </xf>
    <xf numFmtId="239" fontId="121" fillId="0" borderId="145" xfId="0" applyNumberFormat="1" applyFont="1" applyBorder="1" applyAlignment="1" applyProtection="1">
      <alignment horizontal="center" vertical="center" shrinkToFit="1"/>
      <protection locked="0"/>
    </xf>
    <xf numFmtId="0" fontId="135" fillId="0" borderId="146" xfId="0" applyFont="1" applyBorder="1"/>
    <xf numFmtId="182" fontId="122" fillId="0" borderId="95" xfId="0" applyNumberFormat="1" applyFont="1" applyBorder="1" applyAlignment="1">
      <alignment horizontal="center" vertical="center" shrinkToFit="1"/>
    </xf>
    <xf numFmtId="182" fontId="122" fillId="0" borderId="34" xfId="0" applyNumberFormat="1" applyFont="1" applyBorder="1" applyAlignment="1">
      <alignment horizontal="center" vertical="center" shrinkToFit="1"/>
    </xf>
    <xf numFmtId="182" fontId="122" fillId="0" borderId="153" xfId="0" applyNumberFormat="1" applyFont="1" applyBorder="1" applyAlignment="1">
      <alignment horizontal="center" vertical="center" shrinkToFit="1"/>
    </xf>
    <xf numFmtId="177" fontId="150" fillId="3" borderId="128" xfId="3" applyNumberFormat="1" applyFont="1" applyFill="1" applyBorder="1" applyAlignment="1" applyProtection="1">
      <alignment horizontal="center" vertical="center" shrinkToFit="1"/>
    </xf>
    <xf numFmtId="177" fontId="150" fillId="3" borderId="129" xfId="3" applyNumberFormat="1" applyFont="1" applyFill="1" applyBorder="1" applyAlignment="1" applyProtection="1">
      <alignment horizontal="center" vertical="center" shrinkToFit="1"/>
    </xf>
    <xf numFmtId="177" fontId="150" fillId="3" borderId="130" xfId="3" applyNumberFormat="1" applyFont="1" applyFill="1" applyBorder="1" applyAlignment="1" applyProtection="1">
      <alignment horizontal="center" vertical="center" shrinkToFit="1"/>
    </xf>
    <xf numFmtId="0" fontId="122" fillId="3" borderId="37" xfId="0" applyFont="1" applyFill="1" applyBorder="1" applyAlignment="1">
      <alignment horizontal="center" vertical="center" shrinkToFit="1"/>
    </xf>
    <xf numFmtId="170" fontId="122" fillId="0" borderId="127" xfId="3" applyNumberFormat="1" applyFont="1" applyBorder="1" applyAlignment="1" applyProtection="1">
      <alignment horizontal="center" vertical="center" shrinkToFit="1"/>
    </xf>
    <xf numFmtId="0" fontId="123" fillId="5" borderId="104" xfId="0" applyFont="1" applyFill="1" applyBorder="1" applyAlignment="1">
      <alignment vertical="center" shrinkToFit="1"/>
    </xf>
    <xf numFmtId="0" fontId="123" fillId="5" borderId="97" xfId="0" applyFont="1" applyFill="1" applyBorder="1" applyAlignment="1">
      <alignment vertical="center" shrinkToFit="1"/>
    </xf>
    <xf numFmtId="0" fontId="122" fillId="5" borderId="98" xfId="0" applyFont="1" applyFill="1" applyBorder="1" applyAlignment="1">
      <alignment vertical="center" shrinkToFit="1"/>
    </xf>
    <xf numFmtId="188" fontId="159" fillId="3" borderId="44" xfId="0" applyNumberFormat="1" applyFont="1" applyFill="1" applyBorder="1" applyAlignment="1">
      <alignment horizontal="center" vertical="center" shrinkToFit="1"/>
    </xf>
    <xf numFmtId="188" fontId="159" fillId="3" borderId="94" xfId="0" applyNumberFormat="1" applyFont="1" applyFill="1" applyBorder="1" applyAlignment="1">
      <alignment horizontal="center" vertical="center" shrinkToFit="1"/>
    </xf>
    <xf numFmtId="0" fontId="160" fillId="0" borderId="113" xfId="0" applyFont="1" applyBorder="1" applyAlignment="1">
      <alignment horizontal="center" vertical="center" shrinkToFit="1"/>
    </xf>
    <xf numFmtId="0" fontId="123" fillId="5" borderId="107" xfId="0" applyFont="1" applyFill="1" applyBorder="1" applyAlignment="1">
      <alignment horizontal="center" vertical="center"/>
    </xf>
    <xf numFmtId="0" fontId="123" fillId="5" borderId="34" xfId="0" applyFont="1" applyFill="1" applyBorder="1" applyAlignment="1">
      <alignment horizontal="center" vertical="center"/>
    </xf>
    <xf numFmtId="0" fontId="122" fillId="5" borderId="34" xfId="0" applyFont="1" applyFill="1" applyBorder="1" applyAlignment="1">
      <alignment horizontal="center" vertical="center"/>
    </xf>
    <xf numFmtId="0" fontId="123" fillId="3" borderId="105" xfId="0" applyFont="1" applyFill="1" applyBorder="1" applyAlignment="1">
      <alignment horizontal="center" vertical="center" shrinkToFit="1"/>
    </xf>
    <xf numFmtId="0" fontId="123" fillId="3" borderId="38" xfId="0" applyFont="1" applyFill="1" applyBorder="1" applyAlignment="1">
      <alignment horizontal="center" vertical="center" shrinkToFit="1"/>
    </xf>
    <xf numFmtId="0" fontId="122" fillId="3" borderId="47" xfId="0" applyFont="1" applyFill="1" applyBorder="1" applyAlignment="1">
      <alignment horizontal="center" vertical="center" shrinkToFit="1"/>
    </xf>
    <xf numFmtId="182" fontId="122" fillId="0" borderId="107" xfId="0" applyNumberFormat="1" applyFont="1" applyBorder="1" applyAlignment="1">
      <alignment horizontal="center" vertical="center" shrinkToFit="1"/>
    </xf>
    <xf numFmtId="182" fontId="135" fillId="0" borderId="34" xfId="0" applyNumberFormat="1" applyFont="1" applyBorder="1" applyAlignment="1">
      <alignment horizontal="center" vertical="center" shrinkToFit="1"/>
    </xf>
    <xf numFmtId="182" fontId="135" fillId="0" borderId="20" xfId="0" applyNumberFormat="1" applyFont="1" applyBorder="1" applyAlignment="1">
      <alignment horizontal="center" vertical="center" shrinkToFit="1"/>
    </xf>
    <xf numFmtId="182" fontId="122" fillId="0" borderId="20" xfId="0" applyNumberFormat="1" applyFont="1" applyBorder="1" applyAlignment="1">
      <alignment horizontal="center" vertical="center" shrinkToFit="1"/>
    </xf>
    <xf numFmtId="182" fontId="122" fillId="0" borderId="93" xfId="0" applyNumberFormat="1" applyFont="1" applyBorder="1" applyAlignment="1">
      <alignment horizontal="center" vertical="center" shrinkToFit="1"/>
    </xf>
    <xf numFmtId="279" fontId="122" fillId="0" borderId="46" xfId="0" applyNumberFormat="1" applyFont="1" applyBorder="1" applyAlignment="1">
      <alignment horizontal="center" vertical="center"/>
    </xf>
    <xf numFmtId="279" fontId="135" fillId="0" borderId="94" xfId="0" applyNumberFormat="1" applyFont="1" applyBorder="1" applyAlignment="1">
      <alignment horizontal="center" vertical="center"/>
    </xf>
    <xf numFmtId="279" fontId="135" fillId="0" borderId="45" xfId="0" applyNumberFormat="1" applyFont="1" applyBorder="1" applyAlignment="1">
      <alignment horizontal="center" vertical="center"/>
    </xf>
    <xf numFmtId="0" fontId="133" fillId="3" borderId="163" xfId="0" applyFont="1" applyFill="1" applyBorder="1" applyAlignment="1">
      <alignment horizontal="center" vertical="center" shrinkToFit="1"/>
    </xf>
    <xf numFmtId="0" fontId="133" fillId="3" borderId="16" xfId="0" applyFont="1" applyFill="1" applyBorder="1" applyAlignment="1">
      <alignment horizontal="center" vertical="center" shrinkToFit="1"/>
    </xf>
    <xf numFmtId="0" fontId="133" fillId="0" borderId="27" xfId="0" applyFont="1" applyBorder="1" applyAlignment="1">
      <alignment horizontal="center" vertical="center" shrinkToFit="1"/>
    </xf>
    <xf numFmtId="170" fontId="121" fillId="0" borderId="46" xfId="0" applyNumberFormat="1" applyFont="1" applyBorder="1" applyAlignment="1" applyProtection="1">
      <alignment horizontal="center" vertical="center" shrinkToFit="1"/>
      <protection locked="0"/>
    </xf>
    <xf numFmtId="0" fontId="135" fillId="0" borderId="94" xfId="0" applyFont="1" applyBorder="1" applyAlignment="1" applyProtection="1">
      <alignment horizontal="center" vertical="center" shrinkToFit="1"/>
      <protection locked="0"/>
    </xf>
    <xf numFmtId="0" fontId="135" fillId="0" borderId="45" xfId="0" applyFont="1" applyBorder="1" applyAlignment="1" applyProtection="1">
      <alignment horizontal="center" vertical="center" shrinkToFit="1"/>
      <protection locked="0"/>
    </xf>
    <xf numFmtId="238" fontId="122" fillId="0" borderId="46" xfId="0" applyNumberFormat="1" applyFont="1" applyBorder="1" applyAlignment="1">
      <alignment horizontal="center" vertical="center" shrinkToFit="1"/>
    </xf>
    <xf numFmtId="238" fontId="135" fillId="0" borderId="94" xfId="0" applyNumberFormat="1" applyFont="1" applyBorder="1" applyAlignment="1">
      <alignment horizontal="center" vertical="center" shrinkToFit="1"/>
    </xf>
    <xf numFmtId="238" fontId="135" fillId="0" borderId="45" xfId="0" applyNumberFormat="1" applyFont="1" applyBorder="1" applyAlignment="1">
      <alignment horizontal="center" vertical="center" shrinkToFit="1"/>
    </xf>
    <xf numFmtId="0" fontId="137" fillId="5" borderId="111" xfId="0" applyFont="1" applyFill="1" applyBorder="1" applyAlignment="1">
      <alignment horizontal="center" vertical="center" wrapText="1" shrinkToFit="1"/>
    </xf>
    <xf numFmtId="0" fontId="151" fillId="5" borderId="112" xfId="0" applyFont="1" applyFill="1" applyBorder="1" applyAlignment="1">
      <alignment horizontal="center" vertical="center" wrapText="1" shrinkToFit="1"/>
    </xf>
    <xf numFmtId="0" fontId="123" fillId="5" borderId="46" xfId="0" quotePrefix="1" applyFont="1" applyFill="1" applyBorder="1" applyAlignment="1">
      <alignment horizontal="center" vertical="center" shrinkToFit="1"/>
    </xf>
    <xf numFmtId="0" fontId="135" fillId="0" borderId="113" xfId="0" applyFont="1" applyBorder="1" applyAlignment="1">
      <alignment horizontal="center" vertical="center" shrinkToFit="1"/>
    </xf>
    <xf numFmtId="228" fontId="122" fillId="0" borderId="44" xfId="0" applyNumberFormat="1" applyFont="1" applyBorder="1" applyAlignment="1">
      <alignment horizontal="center" vertical="center" shrinkToFit="1"/>
    </xf>
    <xf numFmtId="228" fontId="135" fillId="0" borderId="94" xfId="0" applyNumberFormat="1" applyFont="1" applyBorder="1" applyAlignment="1">
      <alignment horizontal="center" vertical="center" shrinkToFit="1"/>
    </xf>
    <xf numFmtId="228" fontId="135" fillId="0" borderId="113" xfId="0" applyNumberFormat="1" applyFont="1" applyBorder="1" applyAlignment="1">
      <alignment horizontal="center" vertical="center" shrinkToFit="1"/>
    </xf>
    <xf numFmtId="167" fontId="123" fillId="5" borderId="31" xfId="0" quotePrefix="1" applyNumberFormat="1" applyFont="1" applyFill="1" applyBorder="1" applyAlignment="1">
      <alignment horizontal="center" vertical="center" wrapText="1"/>
    </xf>
    <xf numFmtId="0" fontId="154" fillId="5" borderId="3" xfId="0" applyFont="1" applyFill="1" applyBorder="1" applyAlignment="1">
      <alignment horizontal="center" vertical="center" wrapText="1"/>
    </xf>
    <xf numFmtId="0" fontId="154" fillId="5" borderId="24" xfId="0" applyFont="1" applyFill="1" applyBorder="1" applyAlignment="1">
      <alignment horizontal="center" vertical="center" wrapText="1"/>
    </xf>
    <xf numFmtId="0" fontId="123" fillId="5" borderId="29" xfId="0" applyFont="1" applyFill="1" applyBorder="1" applyAlignment="1">
      <alignment horizontal="center" vertical="center" wrapText="1"/>
    </xf>
    <xf numFmtId="0" fontId="154" fillId="5" borderId="15" xfId="0" applyFont="1" applyFill="1" applyBorder="1" applyAlignment="1">
      <alignment horizontal="center" vertical="center" wrapText="1"/>
    </xf>
    <xf numFmtId="0" fontId="154" fillId="5" borderId="30" xfId="0" applyFont="1" applyFill="1" applyBorder="1" applyAlignment="1">
      <alignment horizontal="center" vertical="center" wrapText="1"/>
    </xf>
    <xf numFmtId="0" fontId="178" fillId="0" borderId="107" xfId="0" applyFont="1" applyBorder="1" applyAlignment="1" applyProtection="1">
      <alignment horizontal="center" vertical="center" shrinkToFit="1"/>
      <protection locked="0"/>
    </xf>
    <xf numFmtId="0" fontId="117" fillId="0" borderId="34" xfId="0" applyFont="1" applyBorder="1" applyAlignment="1" applyProtection="1">
      <alignment horizontal="center" vertical="center" shrinkToFit="1"/>
      <protection locked="0"/>
    </xf>
    <xf numFmtId="0" fontId="117" fillId="0" borderId="20" xfId="0" applyFont="1" applyBorder="1" applyAlignment="1" applyProtection="1">
      <alignment horizontal="center" vertical="center" shrinkToFit="1"/>
      <protection locked="0"/>
    </xf>
    <xf numFmtId="0" fontId="125" fillId="3" borderId="0" xfId="0" quotePrefix="1" applyFont="1" applyFill="1" applyAlignment="1">
      <alignment horizontal="left" shrinkToFit="1"/>
    </xf>
    <xf numFmtId="0" fontId="135" fillId="0" borderId="0" xfId="0" applyFont="1" applyAlignment="1">
      <alignment horizontal="left"/>
    </xf>
    <xf numFmtId="240" fontId="121" fillId="0" borderId="150" xfId="0" applyNumberFormat="1" applyFont="1" applyBorder="1" applyAlignment="1" applyProtection="1">
      <alignment horizontal="center" vertical="center" shrinkToFit="1"/>
      <protection locked="0"/>
    </xf>
    <xf numFmtId="240" fontId="135" fillId="0" borderId="151" xfId="0" applyNumberFormat="1" applyFont="1" applyBorder="1" applyAlignment="1" applyProtection="1">
      <alignment horizontal="center" vertical="center" shrinkToFit="1"/>
      <protection locked="0"/>
    </xf>
    <xf numFmtId="0" fontId="23" fillId="5" borderId="0" xfId="0" applyFont="1" applyFill="1" applyAlignment="1">
      <alignment horizontal="center" vertical="center"/>
    </xf>
    <xf numFmtId="0" fontId="46" fillId="5" borderId="0" xfId="0" applyFont="1" applyFill="1" applyAlignment="1">
      <alignment horizontal="center" vertical="center"/>
    </xf>
    <xf numFmtId="0" fontId="46" fillId="5" borderId="16" xfId="0" applyFont="1" applyFill="1" applyBorder="1" applyAlignment="1">
      <alignment horizontal="center" vertical="center"/>
    </xf>
    <xf numFmtId="0" fontId="23" fillId="5" borderId="79" xfId="0" applyFont="1" applyFill="1" applyBorder="1" applyAlignment="1">
      <alignment horizontal="center" vertical="center" shrinkToFit="1"/>
    </xf>
    <xf numFmtId="0" fontId="0" fillId="5" borderId="81" xfId="0" applyFill="1" applyBorder="1"/>
    <xf numFmtId="0" fontId="146" fillId="3" borderId="0" xfId="0" quotePrefix="1" applyFont="1" applyFill="1" applyAlignment="1">
      <alignment horizontal="left" vertical="top" wrapText="1" indent="1"/>
    </xf>
    <xf numFmtId="0" fontId="146" fillId="3" borderId="0" xfId="0" applyFont="1" applyFill="1" applyAlignment="1">
      <alignment horizontal="left" vertical="top" wrapText="1" indent="1"/>
    </xf>
    <xf numFmtId="0" fontId="146" fillId="3" borderId="16" xfId="0" applyFont="1" applyFill="1" applyBorder="1" applyAlignment="1">
      <alignment horizontal="left" vertical="top" wrapText="1" indent="1"/>
    </xf>
    <xf numFmtId="0" fontId="123" fillId="5" borderId="15" xfId="0" quotePrefix="1" applyFont="1" applyFill="1" applyBorder="1" applyAlignment="1">
      <alignment horizontal="center" vertical="justify"/>
    </xf>
    <xf numFmtId="0" fontId="122" fillId="0" borderId="15" xfId="0" applyFont="1" applyBorder="1" applyAlignment="1">
      <alignment horizontal="center"/>
    </xf>
    <xf numFmtId="0" fontId="126" fillId="5" borderId="17" xfId="0" applyFont="1" applyFill="1" applyBorder="1" applyAlignment="1">
      <alignment horizontal="justify" vertical="center"/>
    </xf>
    <xf numFmtId="0" fontId="124" fillId="0" borderId="0" xfId="0" applyFont="1" applyAlignment="1">
      <alignment horizontal="justify" vertical="center"/>
    </xf>
    <xf numFmtId="0" fontId="124" fillId="0" borderId="16" xfId="0" applyFont="1" applyBorder="1" applyAlignment="1">
      <alignment horizontal="justify" vertical="center"/>
    </xf>
    <xf numFmtId="0" fontId="123" fillId="5" borderId="104" xfId="0" applyFont="1" applyFill="1" applyBorder="1" applyAlignment="1">
      <alignment horizontal="left" vertical="center"/>
    </xf>
    <xf numFmtId="0" fontId="123" fillId="5" borderId="97" xfId="0" applyFont="1" applyFill="1" applyBorder="1" applyAlignment="1">
      <alignment horizontal="left" vertical="center"/>
    </xf>
    <xf numFmtId="0" fontId="123" fillId="5" borderId="109" xfId="0" applyFont="1" applyFill="1" applyBorder="1" applyAlignment="1">
      <alignment horizontal="left" vertical="center"/>
    </xf>
    <xf numFmtId="228" fontId="122" fillId="0" borderId="107" xfId="0" applyNumberFormat="1" applyFont="1" applyBorder="1" applyAlignment="1">
      <alignment horizontal="center" vertical="center" shrinkToFit="1"/>
    </xf>
    <xf numFmtId="228" fontId="135" fillId="0" borderId="34" xfId="0" applyNumberFormat="1" applyFont="1" applyBorder="1" applyAlignment="1">
      <alignment horizontal="center" vertical="center" shrinkToFit="1"/>
    </xf>
    <xf numFmtId="228" fontId="135" fillId="0" borderId="20" xfId="0" applyNumberFormat="1" applyFont="1" applyBorder="1" applyAlignment="1">
      <alignment horizontal="center" vertical="center" shrinkToFit="1"/>
    </xf>
    <xf numFmtId="279" fontId="122" fillId="0" borderId="37" xfId="0" applyNumberFormat="1" applyFont="1" applyBorder="1" applyAlignment="1">
      <alignment horizontal="center" vertical="center" wrapText="1"/>
    </xf>
    <xf numFmtId="279" fontId="135" fillId="0" borderId="43" xfId="0" applyNumberFormat="1" applyFont="1" applyBorder="1" applyAlignment="1">
      <alignment horizontal="center" vertical="center"/>
    </xf>
    <xf numFmtId="279" fontId="135" fillId="0" borderId="38" xfId="0" applyNumberFormat="1" applyFont="1" applyBorder="1" applyAlignment="1">
      <alignment horizontal="center" vertical="center"/>
    </xf>
    <xf numFmtId="0" fontId="172" fillId="0" borderId="152" xfId="0" applyFont="1" applyBorder="1" applyAlignment="1" applyProtection="1">
      <alignment horizontal="center" vertical="center" shrinkToFit="1"/>
      <protection locked="0"/>
    </xf>
    <xf numFmtId="0" fontId="193" fillId="0" borderId="34" xfId="0" applyFont="1" applyBorder="1" applyAlignment="1">
      <alignment horizontal="center" vertical="center" shrinkToFit="1"/>
    </xf>
    <xf numFmtId="0" fontId="193" fillId="0" borderId="20" xfId="0" applyFont="1" applyBorder="1" applyAlignment="1">
      <alignment horizontal="center" vertical="center" shrinkToFit="1"/>
    </xf>
    <xf numFmtId="0" fontId="45" fillId="5" borderId="15" xfId="0" applyFont="1" applyFill="1" applyBorder="1" applyAlignment="1">
      <alignment horizontal="center" vertical="center" shrinkToFit="1"/>
    </xf>
    <xf numFmtId="0" fontId="0" fillId="5" borderId="15" xfId="0" applyFill="1" applyBorder="1" applyAlignment="1">
      <alignment vertical="center"/>
    </xf>
    <xf numFmtId="0" fontId="25" fillId="3" borderId="0" xfId="2" applyFont="1" applyFill="1" applyBorder="1" applyAlignment="1" applyProtection="1">
      <alignment horizontal="center" vertical="center"/>
    </xf>
    <xf numFmtId="0" fontId="77" fillId="3" borderId="0" xfId="0" quotePrefix="1" applyFont="1" applyFill="1" applyAlignment="1">
      <alignment horizontal="center" vertical="center"/>
    </xf>
    <xf numFmtId="0" fontId="76" fillId="3" borderId="0" xfId="0" applyFont="1" applyFill="1" applyAlignment="1">
      <alignment horizontal="center" vertical="center"/>
    </xf>
    <xf numFmtId="0" fontId="121" fillId="3" borderId="0" xfId="2" applyFont="1" applyFill="1" applyAlignment="1" applyProtection="1">
      <alignment horizontal="center" vertical="center" shrinkToFit="1"/>
      <protection locked="0"/>
    </xf>
    <xf numFmtId="218" fontId="126" fillId="5" borderId="15" xfId="0" applyNumberFormat="1" applyFont="1" applyFill="1" applyBorder="1" applyAlignment="1">
      <alignment horizontal="center" vertical="top"/>
    </xf>
    <xf numFmtId="0" fontId="124" fillId="0" borderId="15" xfId="0" applyFont="1" applyBorder="1" applyAlignment="1">
      <alignment horizontal="center" vertical="top"/>
    </xf>
    <xf numFmtId="0" fontId="123" fillId="5" borderId="31" xfId="0" quotePrefix="1" applyFont="1" applyFill="1" applyBorder="1" applyAlignment="1">
      <alignment horizontal="center" vertical="center" wrapText="1" shrinkToFit="1"/>
    </xf>
    <xf numFmtId="0" fontId="124" fillId="5" borderId="131" xfId="0" applyFont="1" applyFill="1" applyBorder="1" applyAlignment="1">
      <alignment horizontal="center" vertical="center" wrapText="1" shrinkToFit="1"/>
    </xf>
    <xf numFmtId="0" fontId="124" fillId="5" borderId="29" xfId="0" applyFont="1" applyFill="1" applyBorder="1" applyAlignment="1">
      <alignment horizontal="center" vertical="center" wrapText="1" shrinkToFit="1"/>
    </xf>
    <xf numFmtId="0" fontId="124" fillId="5" borderId="132" xfId="0" applyFont="1" applyFill="1" applyBorder="1" applyAlignment="1">
      <alignment horizontal="center" vertical="center" wrapText="1" shrinkToFit="1"/>
    </xf>
    <xf numFmtId="242" fontId="122" fillId="0" borderId="127" xfId="0" applyNumberFormat="1" applyFont="1" applyBorder="1" applyAlignment="1">
      <alignment horizontal="center" vertical="center"/>
    </xf>
    <xf numFmtId="240" fontId="121" fillId="0" borderId="121" xfId="0" applyNumberFormat="1" applyFont="1" applyBorder="1" applyAlignment="1" applyProtection="1">
      <alignment horizontal="center" vertical="center" shrinkToFit="1"/>
      <protection locked="0"/>
    </xf>
    <xf numFmtId="0" fontId="135" fillId="0" borderId="15" xfId="0" applyFont="1" applyBorder="1"/>
    <xf numFmtId="0" fontId="135" fillId="0" borderId="30" xfId="0" applyFont="1" applyBorder="1"/>
    <xf numFmtId="0" fontId="205" fillId="3" borderId="0" xfId="2" applyFont="1" applyFill="1" applyAlignment="1" applyProtection="1">
      <alignment horizontal="center" vertical="center"/>
    </xf>
    <xf numFmtId="187" fontId="142" fillId="3" borderId="159" xfId="0" applyNumberFormat="1" applyFont="1" applyFill="1" applyBorder="1" applyAlignment="1">
      <alignment horizontal="center" vertical="center"/>
    </xf>
    <xf numFmtId="187" fontId="142" fillId="0" borderId="160" xfId="0" applyNumberFormat="1" applyFont="1" applyBorder="1" applyAlignment="1">
      <alignment horizontal="center" vertical="center"/>
    </xf>
    <xf numFmtId="183" fontId="123" fillId="2" borderId="107"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85" fillId="0" borderId="25" xfId="2" quotePrefix="1" applyFont="1" applyBorder="1" applyAlignment="1" applyProtection="1">
      <alignment horizontal="left" vertical="center" shrinkToFit="1"/>
    </xf>
    <xf numFmtId="0" fontId="81" fillId="3" borderId="32" xfId="0" applyFont="1" applyFill="1" applyBorder="1" applyAlignment="1">
      <alignment vertical="center"/>
    </xf>
    <xf numFmtId="0" fontId="122" fillId="3" borderId="0" xfId="2" applyFont="1" applyFill="1" applyAlignment="1" applyProtection="1">
      <alignment horizontal="center" vertical="top"/>
    </xf>
    <xf numFmtId="0" fontId="135" fillId="3" borderId="0" xfId="0" applyFont="1" applyFill="1" applyAlignment="1">
      <alignment horizontal="center" vertical="top"/>
    </xf>
    <xf numFmtId="0" fontId="9" fillId="3" borderId="0" xfId="2" applyFont="1" applyFill="1" applyAlignment="1" applyProtection="1">
      <alignment vertical="center"/>
    </xf>
    <xf numFmtId="0" fontId="0" fillId="3" borderId="0" xfId="0" applyFill="1" applyAlignment="1">
      <alignment vertical="center"/>
    </xf>
    <xf numFmtId="223" fontId="0" fillId="0" borderId="0" xfId="0" applyNumberFormat="1" applyAlignment="1">
      <alignment horizontal="center" vertical="center"/>
    </xf>
    <xf numFmtId="0" fontId="0" fillId="0" borderId="0" xfId="0" applyAlignment="1">
      <alignment horizontal="center" vertical="center"/>
    </xf>
    <xf numFmtId="0" fontId="125" fillId="3" borderId="0" xfId="0" quotePrefix="1" applyFont="1" applyFill="1" applyAlignment="1">
      <alignment horizontal="center" wrapText="1"/>
    </xf>
    <xf numFmtId="0" fontId="135" fillId="0" borderId="0" xfId="0" applyFont="1" applyAlignment="1">
      <alignment horizontal="center" wrapText="1"/>
    </xf>
    <xf numFmtId="0" fontId="161" fillId="3" borderId="11" xfId="0" applyFont="1" applyFill="1" applyBorder="1" applyAlignment="1">
      <alignment horizontal="center" vertical="center"/>
    </xf>
    <xf numFmtId="0" fontId="208" fillId="3" borderId="0" xfId="2" applyFont="1" applyFill="1" applyAlignment="1" applyProtection="1">
      <alignment horizontal="center" vertical="center"/>
    </xf>
    <xf numFmtId="0" fontId="208" fillId="0" borderId="0" xfId="2" applyFont="1" applyAlignment="1" applyProtection="1">
      <alignment horizontal="center" vertical="center"/>
    </xf>
    <xf numFmtId="0" fontId="137" fillId="2" borderId="147" xfId="0" applyFont="1" applyFill="1" applyBorder="1" applyAlignment="1">
      <alignment horizontal="center" vertical="center" wrapText="1"/>
    </xf>
    <xf numFmtId="0" fontId="156" fillId="0" borderId="27" xfId="0" applyFont="1" applyBorder="1" applyAlignment="1">
      <alignment horizontal="center" vertical="center" wrapText="1"/>
    </xf>
    <xf numFmtId="0" fontId="135" fillId="0" borderId="28" xfId="0" applyFont="1" applyBorder="1" applyAlignment="1">
      <alignment vertical="center"/>
    </xf>
    <xf numFmtId="190" fontId="122" fillId="0" borderId="46" xfId="0" applyNumberFormat="1" applyFont="1" applyBorder="1" applyAlignment="1">
      <alignment horizontal="center" vertical="center" wrapText="1"/>
    </xf>
    <xf numFmtId="190" fontId="122" fillId="0" borderId="94" xfId="0" applyNumberFormat="1" applyFont="1" applyBorder="1" applyAlignment="1">
      <alignment horizontal="center" vertical="center"/>
    </xf>
    <xf numFmtId="190" fontId="122" fillId="0" borderId="45" xfId="0" applyNumberFormat="1" applyFont="1" applyBorder="1" applyAlignment="1">
      <alignment horizontal="center" vertical="center"/>
    </xf>
    <xf numFmtId="191" fontId="122" fillId="0" borderId="148" xfId="0" applyNumberFormat="1" applyFont="1" applyBorder="1" applyAlignment="1">
      <alignment horizontal="left" vertical="center" indent="1"/>
    </xf>
    <xf numFmtId="191" fontId="122" fillId="0" borderId="43" xfId="0" applyNumberFormat="1" applyFont="1" applyBorder="1" applyAlignment="1">
      <alignment horizontal="left" vertical="center" indent="1"/>
    </xf>
    <xf numFmtId="203" fontId="122" fillId="0" borderId="149" xfId="0" applyNumberFormat="1" applyFont="1" applyBorder="1" applyAlignment="1">
      <alignment horizontal="left" vertical="center" indent="1"/>
    </xf>
    <xf numFmtId="203" fontId="122" fillId="0" borderId="94" xfId="0" applyNumberFormat="1" applyFont="1" applyBorder="1" applyAlignment="1">
      <alignment horizontal="left" vertical="center" indent="1"/>
    </xf>
    <xf numFmtId="203" fontId="122" fillId="0" borderId="45" xfId="0" applyNumberFormat="1" applyFont="1" applyBorder="1" applyAlignment="1">
      <alignment horizontal="left" vertical="center" indent="1"/>
    </xf>
    <xf numFmtId="0" fontId="137" fillId="2" borderId="29" xfId="0" applyFont="1" applyFill="1" applyBorder="1" applyAlignment="1">
      <alignment horizontal="right" vertical="center" shrinkToFit="1"/>
    </xf>
    <xf numFmtId="0" fontId="137" fillId="2" borderId="15" xfId="0" applyFont="1" applyFill="1" applyBorder="1" applyAlignment="1">
      <alignment horizontal="right" vertical="center" shrinkToFit="1"/>
    </xf>
    <xf numFmtId="0" fontId="137" fillId="2" borderId="15" xfId="0" applyFont="1" applyFill="1" applyBorder="1" applyAlignment="1">
      <alignment horizontal="center" vertical="center" shrinkToFit="1"/>
    </xf>
    <xf numFmtId="0" fontId="135" fillId="0" borderId="15" xfId="0" applyFont="1" applyBorder="1" applyAlignment="1">
      <alignment horizontal="center" vertical="center" shrinkToFit="1"/>
    </xf>
    <xf numFmtId="0" fontId="135" fillId="0" borderId="30" xfId="0" applyFont="1" applyBorder="1" applyAlignment="1">
      <alignment horizontal="center" vertical="center" shrinkToFit="1"/>
    </xf>
    <xf numFmtId="205" fontId="125" fillId="3" borderId="0" xfId="0" applyNumberFormat="1" applyFont="1" applyFill="1" applyAlignment="1">
      <alignment horizontal="center" vertical="center" shrinkToFit="1"/>
    </xf>
    <xf numFmtId="0" fontId="145" fillId="0" borderId="0" xfId="0" applyFont="1" applyAlignment="1">
      <alignment horizontal="center" vertical="center"/>
    </xf>
    <xf numFmtId="0" fontId="121" fillId="3" borderId="0" xfId="2" quotePrefix="1" applyFont="1" applyFill="1" applyAlignment="1" applyProtection="1">
      <alignment horizontal="center" vertical="center" shrinkToFit="1"/>
    </xf>
    <xf numFmtId="0" fontId="121" fillId="3" borderId="0" xfId="2" applyFont="1" applyFill="1" applyAlignment="1" applyProtection="1">
      <alignment horizontal="center" vertical="center" shrinkToFit="1"/>
    </xf>
    <xf numFmtId="0" fontId="121" fillId="3" borderId="16" xfId="2" applyFont="1" applyFill="1" applyBorder="1" applyAlignment="1" applyProtection="1">
      <alignment horizontal="center" vertical="center" shrinkToFit="1"/>
    </xf>
    <xf numFmtId="223" fontId="122" fillId="3" borderId="17" xfId="0" quotePrefix="1" applyNumberFormat="1" applyFont="1" applyFill="1" applyBorder="1" applyAlignment="1">
      <alignment horizontal="center" vertical="center" shrinkToFit="1"/>
    </xf>
    <xf numFmtId="0" fontId="122" fillId="3" borderId="0" xfId="0" applyFont="1" applyFill="1" applyAlignment="1">
      <alignment horizontal="center" vertical="center" shrinkToFit="1"/>
    </xf>
    <xf numFmtId="190" fontId="142" fillId="3" borderId="161" xfId="0" applyNumberFormat="1" applyFont="1" applyFill="1" applyBorder="1" applyAlignment="1">
      <alignment horizontal="center" vertical="center"/>
    </xf>
    <xf numFmtId="190" fontId="142" fillId="0" borderId="162" xfId="0" applyNumberFormat="1" applyFont="1" applyBorder="1" applyAlignment="1">
      <alignment horizontal="center" vertical="center"/>
    </xf>
    <xf numFmtId="0" fontId="0" fillId="3" borderId="34" xfId="0" applyFill="1" applyBorder="1" applyAlignment="1">
      <alignment vertical="center"/>
    </xf>
    <xf numFmtId="0" fontId="142" fillId="3" borderId="154" xfId="0" applyFont="1" applyFill="1" applyBorder="1" applyAlignment="1">
      <alignment horizontal="center" vertical="center" wrapText="1"/>
    </xf>
    <xf numFmtId="0" fontId="142" fillId="3" borderId="155" xfId="0" applyFont="1" applyFill="1" applyBorder="1" applyAlignment="1">
      <alignment horizontal="center" vertical="center" wrapText="1"/>
    </xf>
    <xf numFmtId="0" fontId="142" fillId="3" borderId="156" xfId="0" applyFont="1" applyFill="1" applyBorder="1" applyAlignment="1">
      <alignment horizontal="center" vertical="center" wrapText="1"/>
    </xf>
    <xf numFmtId="4" fontId="124" fillId="0" borderId="185" xfId="0" applyNumberFormat="1" applyFont="1" applyBorder="1" applyAlignment="1">
      <alignment horizontal="center" vertical="center" shrinkToFit="1"/>
    </xf>
    <xf numFmtId="4" fontId="22" fillId="0" borderId="186" xfId="0" applyNumberFormat="1" applyFont="1" applyBorder="1" applyAlignment="1">
      <alignment horizontal="center" vertical="center" shrinkToFit="1"/>
    </xf>
    <xf numFmtId="272" fontId="123" fillId="2" borderId="40" xfId="0" applyNumberFormat="1" applyFont="1" applyFill="1" applyBorder="1" applyAlignment="1">
      <alignment horizontal="center" vertical="center" shrinkToFit="1"/>
    </xf>
    <xf numFmtId="272" fontId="154" fillId="2" borderId="188" xfId="0" applyNumberFormat="1" applyFont="1" applyFill="1" applyBorder="1" applyAlignment="1">
      <alignment horizontal="center" vertical="center" shrinkToFit="1"/>
    </xf>
    <xf numFmtId="0" fontId="123" fillId="5" borderId="31" xfId="0" quotePrefix="1" applyFont="1" applyFill="1" applyBorder="1" applyAlignment="1">
      <alignment horizontal="left" vertical="center" wrapText="1"/>
    </xf>
    <xf numFmtId="0" fontId="123" fillId="5" borderId="3" xfId="0" quotePrefix="1" applyFont="1" applyFill="1" applyBorder="1" applyAlignment="1">
      <alignment horizontal="left" vertical="center" wrapText="1"/>
    </xf>
    <xf numFmtId="0" fontId="123" fillId="5" borderId="24" xfId="0" quotePrefix="1" applyFont="1" applyFill="1" applyBorder="1" applyAlignment="1">
      <alignment horizontal="left" vertical="center" wrapText="1"/>
    </xf>
    <xf numFmtId="0" fontId="44" fillId="3" borderId="15" xfId="0" applyFont="1" applyFill="1" applyBorder="1" applyAlignment="1">
      <alignment horizontal="right" vertical="center" shrinkToFit="1"/>
    </xf>
    <xf numFmtId="0" fontId="23" fillId="5" borderId="15" xfId="0" applyFont="1"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30" xfId="0" applyFill="1" applyBorder="1" applyAlignment="1">
      <alignment horizontal="center" vertical="center" shrinkToFit="1"/>
    </xf>
    <xf numFmtId="0" fontId="0" fillId="5" borderId="81" xfId="0" applyFill="1" applyBorder="1" applyAlignment="1">
      <alignment vertical="center"/>
    </xf>
    <xf numFmtId="0" fontId="9" fillId="5" borderId="31" xfId="2" applyFont="1" applyFill="1" applyBorder="1" applyAlignment="1" applyProtection="1">
      <alignment vertical="center" shrinkToFit="1"/>
    </xf>
    <xf numFmtId="0" fontId="9" fillId="5" borderId="3" xfId="2" applyFont="1" applyFill="1" applyBorder="1" applyAlignment="1" applyProtection="1">
      <alignment vertical="center"/>
    </xf>
    <xf numFmtId="0" fontId="142" fillId="3" borderId="0" xfId="0" applyFont="1" applyFill="1" applyAlignment="1">
      <alignment horizontal="center" vertical="center" wrapText="1"/>
    </xf>
    <xf numFmtId="0" fontId="23" fillId="2" borderId="140" xfId="0" quotePrefix="1" applyFont="1" applyFill="1" applyBorder="1" applyAlignment="1">
      <alignment horizontal="center" vertical="center" shrinkToFit="1"/>
    </xf>
    <xf numFmtId="0" fontId="23" fillId="0" borderId="141" xfId="0" applyFont="1" applyBorder="1" applyAlignment="1">
      <alignment horizontal="center" vertical="center" shrinkToFit="1"/>
    </xf>
    <xf numFmtId="0" fontId="23" fillId="0" borderId="3" xfId="0" applyFont="1" applyBorder="1" applyAlignment="1">
      <alignment horizontal="center" vertical="center" shrinkToFit="1"/>
    </xf>
    <xf numFmtId="0" fontId="0" fillId="0" borderId="174" xfId="0" applyBorder="1" applyAlignment="1">
      <alignment horizontal="center" vertical="center" shrinkToFit="1"/>
    </xf>
    <xf numFmtId="210" fontId="120" fillId="0" borderId="101" xfId="0" applyNumberFormat="1" applyFont="1" applyBorder="1" applyAlignment="1">
      <alignment horizontal="center" vertical="center" shrinkToFit="1"/>
    </xf>
    <xf numFmtId="210" fontId="130" fillId="0" borderId="101" xfId="0" applyNumberFormat="1" applyFont="1" applyBorder="1" applyAlignment="1">
      <alignment horizontal="center" vertical="center" shrinkToFit="1"/>
    </xf>
    <xf numFmtId="296" fontId="209" fillId="15" borderId="40" xfId="0" applyNumberFormat="1" applyFont="1" applyFill="1" applyBorder="1" applyAlignment="1">
      <alignment horizontal="center" vertical="center" shrinkToFit="1"/>
    </xf>
    <xf numFmtId="0" fontId="209" fillId="15" borderId="49" xfId="0" applyFont="1" applyFill="1" applyBorder="1" applyAlignment="1">
      <alignment horizontal="center" vertical="center" shrinkToFit="1"/>
    </xf>
    <xf numFmtId="0" fontId="122" fillId="0" borderId="188" xfId="0" applyFont="1" applyBorder="1" applyAlignment="1">
      <alignment horizontal="center" vertical="center" shrinkToFit="1"/>
    </xf>
    <xf numFmtId="0" fontId="23" fillId="2" borderId="107" xfId="2" quotePrefix="1" applyFont="1" applyFill="1" applyBorder="1" applyAlignment="1" applyProtection="1">
      <alignment horizontal="center" vertical="center" shrinkToFit="1"/>
    </xf>
    <xf numFmtId="0" fontId="23" fillId="2" borderId="34" xfId="2" quotePrefix="1" applyFont="1" applyFill="1" applyBorder="1" applyAlignment="1" applyProtection="1">
      <alignment horizontal="center" vertical="center" shrinkToFit="1"/>
    </xf>
    <xf numFmtId="0" fontId="23" fillId="2" borderId="20" xfId="2" quotePrefix="1" applyFont="1" applyFill="1" applyBorder="1" applyAlignment="1" applyProtection="1">
      <alignment horizontal="center" vertical="center" shrinkToFit="1"/>
    </xf>
    <xf numFmtId="0" fontId="169" fillId="0" borderId="137" xfId="0" applyFont="1" applyBorder="1" applyAlignment="1" applyProtection="1">
      <alignment horizontal="center" vertical="center" shrinkToFit="1"/>
      <protection locked="0"/>
    </xf>
    <xf numFmtId="0" fontId="169" fillId="0" borderId="139" xfId="0" applyFont="1" applyBorder="1" applyAlignment="1" applyProtection="1">
      <alignment horizontal="center" vertical="center" shrinkToFit="1"/>
      <protection locked="0"/>
    </xf>
    <xf numFmtId="0" fontId="23" fillId="2" borderId="46" xfId="0" quotePrefix="1" applyFont="1" applyFill="1" applyBorder="1" applyAlignment="1">
      <alignment horizontal="center" vertical="center" shrinkToFit="1"/>
    </xf>
    <xf numFmtId="0" fontId="23" fillId="2" borderId="94" xfId="0" quotePrefix="1" applyFont="1" applyFill="1" applyBorder="1" applyAlignment="1">
      <alignment horizontal="center" vertical="center" shrinkToFit="1"/>
    </xf>
    <xf numFmtId="0" fontId="23" fillId="2" borderId="113" xfId="0" quotePrefix="1" applyFont="1" applyFill="1" applyBorder="1" applyAlignment="1">
      <alignment horizontal="center" vertical="center" shrinkToFit="1"/>
    </xf>
    <xf numFmtId="222" fontId="201" fillId="14" borderId="179" xfId="0" applyNumberFormat="1" applyFont="1" applyFill="1" applyBorder="1" applyAlignment="1">
      <alignment horizontal="right" vertical="center" shrinkToFit="1"/>
    </xf>
    <xf numFmtId="0" fontId="201" fillId="14" borderId="49" xfId="0" applyFont="1" applyFill="1" applyBorder="1" applyAlignment="1">
      <alignment vertical="center" shrinkToFit="1"/>
    </xf>
    <xf numFmtId="0" fontId="23" fillId="2" borderId="37" xfId="0" applyFont="1" applyFill="1" applyBorder="1" applyAlignment="1">
      <alignment horizontal="center" vertical="center" shrinkToFit="1"/>
    </xf>
    <xf numFmtId="0" fontId="23" fillId="2" borderId="43" xfId="0" applyFont="1" applyFill="1" applyBorder="1" applyAlignment="1">
      <alignment horizontal="center" vertical="center" shrinkToFit="1"/>
    </xf>
    <xf numFmtId="0" fontId="23" fillId="2" borderId="164" xfId="0" applyFont="1" applyFill="1" applyBorder="1" applyAlignment="1">
      <alignment horizontal="center" vertical="center" shrinkToFit="1"/>
    </xf>
    <xf numFmtId="0" fontId="45" fillId="5" borderId="0" xfId="0" applyFont="1" applyFill="1" applyAlignment="1">
      <alignment horizontal="center" vertical="center" shrinkToFit="1"/>
    </xf>
    <xf numFmtId="0" fontId="5" fillId="5" borderId="0" xfId="0" applyFont="1" applyFill="1" applyAlignment="1">
      <alignment horizontal="center" vertical="center" shrinkToFit="1"/>
    </xf>
    <xf numFmtId="233" fontId="120" fillId="6" borderId="187" xfId="0" applyNumberFormat="1" applyFont="1" applyFill="1" applyBorder="1" applyAlignment="1">
      <alignment horizontal="center" vertical="center" shrinkToFit="1"/>
    </xf>
    <xf numFmtId="0" fontId="124" fillId="0" borderId="186" xfId="0" applyFont="1" applyBorder="1" applyAlignment="1">
      <alignment horizontal="center" vertical="center" shrinkToFit="1"/>
    </xf>
    <xf numFmtId="0" fontId="191" fillId="0" borderId="34" xfId="0" applyFont="1" applyBorder="1" applyAlignment="1" applyProtection="1">
      <alignment horizontal="center" vertical="center" shrinkToFit="1"/>
      <protection locked="0"/>
    </xf>
    <xf numFmtId="0" fontId="191" fillId="0" borderId="20" xfId="0" applyFont="1" applyBorder="1" applyAlignment="1" applyProtection="1">
      <alignment horizontal="center" vertical="center" shrinkToFit="1"/>
      <protection locked="0"/>
    </xf>
    <xf numFmtId="175" fontId="122" fillId="0" borderId="110" xfId="0" applyNumberFormat="1" applyFont="1" applyBorder="1" applyAlignment="1">
      <alignment horizontal="center" vertical="center" shrinkToFit="1"/>
    </xf>
    <xf numFmtId="0" fontId="0" fillId="0" borderId="45" xfId="0" applyBorder="1" applyAlignment="1">
      <alignment horizontal="center" vertical="center" shrinkToFit="1"/>
    </xf>
    <xf numFmtId="187" fontId="142" fillId="3" borderId="157" xfId="0" applyNumberFormat="1" applyFont="1" applyFill="1" applyBorder="1" applyAlignment="1">
      <alignment horizontal="center" vertical="center"/>
    </xf>
    <xf numFmtId="187" fontId="142" fillId="0" borderId="158" xfId="0" applyNumberFormat="1" applyFont="1" applyBorder="1" applyAlignment="1">
      <alignment horizontal="center" vertical="center"/>
    </xf>
    <xf numFmtId="293" fontId="201" fillId="14" borderId="49" xfId="0" applyNumberFormat="1" applyFont="1" applyFill="1" applyBorder="1" applyAlignment="1">
      <alignment horizontal="center" vertical="center" shrinkToFit="1"/>
    </xf>
    <xf numFmtId="0" fontId="23" fillId="5" borderId="94" xfId="0" applyFont="1" applyFill="1" applyBorder="1" applyAlignment="1">
      <alignment horizontal="center" vertical="center" shrinkToFit="1"/>
    </xf>
    <xf numFmtId="0" fontId="58" fillId="3" borderId="15"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Alignment="1">
      <alignment horizontal="center" vertical="center" shrinkToFit="1"/>
    </xf>
    <xf numFmtId="190" fontId="122" fillId="0" borderId="37" xfId="0" applyNumberFormat="1" applyFont="1" applyBorder="1" applyAlignment="1">
      <alignment horizontal="center" vertical="center"/>
    </xf>
    <xf numFmtId="190" fontId="122" fillId="0" borderId="43" xfId="0" applyNumberFormat="1" applyFont="1" applyBorder="1" applyAlignment="1">
      <alignment horizontal="center" vertical="center"/>
    </xf>
    <xf numFmtId="190" fontId="122" fillId="0" borderId="38" xfId="0" applyNumberFormat="1" applyFont="1" applyBorder="1" applyAlignment="1">
      <alignment horizontal="center" vertical="center"/>
    </xf>
    <xf numFmtId="200" fontId="120" fillId="6" borderId="31" xfId="0" applyNumberFormat="1" applyFont="1" applyFill="1" applyBorder="1" applyAlignment="1">
      <alignment horizontal="right" vertical="center" shrinkToFit="1"/>
    </xf>
    <xf numFmtId="200" fontId="120" fillId="6" borderId="3" xfId="0" applyNumberFormat="1" applyFont="1" applyFill="1" applyBorder="1" applyAlignment="1">
      <alignment horizontal="right" vertical="center" shrinkToFit="1"/>
    </xf>
    <xf numFmtId="0" fontId="23" fillId="2" borderId="177" xfId="0" applyFont="1" applyFill="1" applyBorder="1" applyAlignment="1">
      <alignment horizontal="center" vertical="center"/>
    </xf>
    <xf numFmtId="0" fontId="23" fillId="2" borderId="178" xfId="0" applyFont="1" applyFill="1" applyBorder="1" applyAlignment="1">
      <alignment horizontal="center" vertical="center"/>
    </xf>
    <xf numFmtId="0" fontId="23" fillId="2" borderId="133" xfId="0" applyFont="1" applyFill="1" applyBorder="1" applyAlignment="1">
      <alignment horizontal="center" vertical="center"/>
    </xf>
    <xf numFmtId="0" fontId="23" fillId="14" borderId="107" xfId="0" quotePrefix="1" applyFont="1" applyFill="1" applyBorder="1" applyAlignment="1">
      <alignment horizontal="right" vertical="center" shrinkToFit="1"/>
    </xf>
    <xf numFmtId="0" fontId="23" fillId="14" borderId="34" xfId="0" quotePrefix="1" applyFont="1" applyFill="1" applyBorder="1" applyAlignment="1">
      <alignment horizontal="right" vertical="center" shrinkToFit="1"/>
    </xf>
    <xf numFmtId="170" fontId="203" fillId="0" borderId="179" xfId="0" applyNumberFormat="1" applyFont="1" applyBorder="1" applyAlignment="1">
      <alignment horizontal="center" vertical="center" shrinkToFit="1"/>
    </xf>
    <xf numFmtId="170" fontId="203" fillId="0" borderId="41" xfId="0" applyNumberFormat="1" applyFont="1" applyBorder="1" applyAlignment="1">
      <alignment horizontal="center" vertical="center" shrinkToFit="1"/>
    </xf>
    <xf numFmtId="226" fontId="118" fillId="0" borderId="37" xfId="0" applyNumberFormat="1" applyFont="1" applyBorder="1" applyAlignment="1">
      <alignment horizontal="center" vertical="center" shrinkToFit="1"/>
    </xf>
    <xf numFmtId="226" fontId="153" fillId="0" borderId="134" xfId="0" applyNumberFormat="1" applyFont="1" applyBorder="1" applyAlignment="1">
      <alignment horizontal="center" vertical="center" shrinkToFit="1"/>
    </xf>
    <xf numFmtId="0" fontId="23" fillId="2" borderId="31" xfId="0" applyFont="1" applyFill="1" applyBorder="1" applyAlignment="1">
      <alignment horizontal="center" vertical="center" shrinkToFit="1"/>
    </xf>
    <xf numFmtId="0" fontId="22" fillId="0" borderId="3" xfId="0" applyFont="1" applyBorder="1" applyAlignment="1">
      <alignment horizontal="center" vertical="center" shrinkToFit="1"/>
    </xf>
    <xf numFmtId="0" fontId="123" fillId="2" borderId="31" xfId="0" quotePrefix="1" applyFont="1" applyFill="1" applyBorder="1" applyAlignment="1">
      <alignment horizontal="center" vertical="center" shrinkToFit="1"/>
    </xf>
    <xf numFmtId="0" fontId="123" fillId="2" borderId="3" xfId="0" quotePrefix="1" applyFont="1" applyFill="1" applyBorder="1" applyAlignment="1">
      <alignment horizontal="center" vertical="center" shrinkToFit="1"/>
    </xf>
    <xf numFmtId="0" fontId="123" fillId="2" borderId="119" xfId="0" quotePrefix="1" applyFont="1" applyFill="1" applyBorder="1" applyAlignment="1">
      <alignment horizontal="center" vertical="center" shrinkToFit="1"/>
    </xf>
    <xf numFmtId="226" fontId="122" fillId="0" borderId="1" xfId="0" applyNumberFormat="1" applyFont="1" applyBorder="1" applyAlignment="1">
      <alignment horizontal="center" vertical="center" shrinkToFit="1"/>
    </xf>
    <xf numFmtId="226" fontId="122" fillId="0" borderId="43" xfId="0" applyNumberFormat="1" applyFont="1" applyBorder="1" applyAlignment="1">
      <alignment horizontal="center" vertical="center" shrinkToFit="1"/>
    </xf>
    <xf numFmtId="0" fontId="125" fillId="3" borderId="34" xfId="0" applyFont="1" applyFill="1" applyBorder="1" applyAlignment="1">
      <alignment horizontal="center" vertical="center" wrapText="1"/>
    </xf>
    <xf numFmtId="305" fontId="122" fillId="0" borderId="34" xfId="0" applyNumberFormat="1" applyFont="1" applyBorder="1" applyAlignment="1">
      <alignment horizontal="right" vertical="center" shrinkToFit="1"/>
    </xf>
    <xf numFmtId="201" fontId="141" fillId="2" borderId="180" xfId="0" applyNumberFormat="1" applyFont="1" applyFill="1" applyBorder="1" applyAlignment="1">
      <alignment horizontal="center" vertical="center"/>
    </xf>
    <xf numFmtId="201" fontId="141" fillId="2" borderId="136" xfId="0" applyNumberFormat="1" applyFont="1" applyFill="1" applyBorder="1" applyAlignment="1">
      <alignment horizontal="center" vertical="center"/>
    </xf>
    <xf numFmtId="271" fontId="122" fillId="0" borderId="34" xfId="0" applyNumberFormat="1" applyFont="1" applyBorder="1" applyAlignment="1">
      <alignment horizontal="center" vertical="center" shrinkToFit="1"/>
    </xf>
    <xf numFmtId="271" fontId="122" fillId="0" borderId="34" xfId="0" applyNumberFormat="1" applyFont="1" applyBorder="1" applyAlignment="1">
      <alignment vertical="center" shrinkToFit="1"/>
    </xf>
    <xf numFmtId="0" fontId="20" fillId="2" borderId="165" xfId="2" applyFont="1" applyFill="1" applyBorder="1" applyAlignment="1" applyProtection="1">
      <alignment horizontal="center" vertical="center" shrinkToFit="1"/>
    </xf>
    <xf numFmtId="0" fontId="20" fillId="2" borderId="179" xfId="2" applyFont="1" applyFill="1" applyBorder="1" applyAlignment="1" applyProtection="1">
      <alignment horizontal="center" vertical="center" shrinkToFit="1"/>
    </xf>
    <xf numFmtId="0" fontId="123" fillId="16" borderId="40" xfId="0" applyFont="1" applyFill="1" applyBorder="1" applyAlignment="1">
      <alignment horizontal="center" vertical="center" shrinkToFit="1"/>
    </xf>
    <xf numFmtId="0" fontId="123" fillId="16" borderId="49" xfId="0" applyFont="1" applyFill="1" applyBorder="1" applyAlignment="1">
      <alignment horizontal="center" vertical="center" shrinkToFit="1"/>
    </xf>
    <xf numFmtId="0" fontId="123" fillId="2" borderId="17" xfId="0" applyFont="1" applyFill="1" applyBorder="1" applyAlignment="1">
      <alignment horizontal="left" vertical="center" shrinkToFit="1"/>
    </xf>
    <xf numFmtId="0" fontId="123" fillId="2" borderId="0" xfId="0" applyFont="1" applyFill="1" applyAlignment="1">
      <alignment horizontal="left" vertical="center" shrinkToFit="1"/>
    </xf>
    <xf numFmtId="0" fontId="152" fillId="2" borderId="31" xfId="0" applyFont="1" applyFill="1" applyBorder="1" applyAlignment="1">
      <alignment horizontal="center" vertical="center" shrinkToFit="1"/>
    </xf>
    <xf numFmtId="0" fontId="152" fillId="2" borderId="3" xfId="0" applyFont="1" applyFill="1" applyBorder="1" applyAlignment="1">
      <alignment horizontal="center" vertical="center" shrinkToFit="1"/>
    </xf>
    <xf numFmtId="0" fontId="152" fillId="2" borderId="24" xfId="0" applyFont="1" applyFill="1" applyBorder="1" applyAlignment="1">
      <alignment horizontal="center" vertical="center" shrinkToFit="1"/>
    </xf>
    <xf numFmtId="214" fontId="122" fillId="0" borderId="44" xfId="0" applyNumberFormat="1" applyFont="1" applyBorder="1" applyAlignment="1">
      <alignment horizontal="center" vertical="center" shrinkToFit="1"/>
    </xf>
    <xf numFmtId="214" fontId="122" fillId="0" borderId="94" xfId="0" applyNumberFormat="1" applyFont="1" applyBorder="1" applyAlignment="1">
      <alignment horizontal="center" vertical="center" shrinkToFit="1"/>
    </xf>
    <xf numFmtId="181" fontId="133" fillId="3" borderId="98" xfId="0" applyNumberFormat="1" applyFont="1" applyFill="1" applyBorder="1" applyAlignment="1">
      <alignment horizontal="center" vertical="center" shrinkToFit="1"/>
    </xf>
    <xf numFmtId="0" fontId="67" fillId="3" borderId="37" xfId="2" applyFont="1" applyFill="1" applyBorder="1" applyAlignment="1" applyProtection="1">
      <alignment horizontal="center" vertical="center" shrinkToFit="1"/>
    </xf>
    <xf numFmtId="0" fontId="3" fillId="0" borderId="43" xfId="0" applyFont="1" applyBorder="1" applyAlignment="1">
      <alignment horizontal="center" vertical="center" shrinkToFit="1"/>
    </xf>
    <xf numFmtId="0" fontId="3" fillId="0" borderId="134" xfId="0" applyFont="1" applyBorder="1" applyAlignment="1">
      <alignment vertical="center" shrinkToFit="1"/>
    </xf>
    <xf numFmtId="0" fontId="199" fillId="3" borderId="46" xfId="0" applyFont="1" applyFill="1" applyBorder="1" applyAlignment="1">
      <alignment horizontal="right" vertical="center" shrinkToFit="1"/>
    </xf>
    <xf numFmtId="0" fontId="197" fillId="0" borderId="94" xfId="0" applyFont="1" applyBorder="1" applyAlignment="1">
      <alignment horizontal="right" vertical="center" shrinkToFit="1"/>
    </xf>
    <xf numFmtId="0" fontId="199" fillId="9" borderId="94" xfId="0" applyFont="1" applyFill="1" applyBorder="1" applyAlignment="1">
      <alignment horizontal="right" vertical="center" shrinkToFit="1"/>
    </xf>
    <xf numFmtId="0" fontId="197" fillId="9" borderId="94" xfId="0" applyFont="1" applyFill="1" applyBorder="1" applyAlignment="1">
      <alignment horizontal="right" vertical="center" shrinkToFit="1"/>
    </xf>
    <xf numFmtId="0" fontId="192" fillId="3" borderId="94" xfId="2" applyFont="1" applyFill="1" applyBorder="1" applyAlignment="1" applyProtection="1">
      <alignment horizontal="center" vertical="center" shrinkToFit="1"/>
      <protection locked="0"/>
    </xf>
    <xf numFmtId="0" fontId="192" fillId="0" borderId="94" xfId="2" applyFont="1" applyBorder="1" applyAlignment="1" applyProtection="1">
      <alignment horizontal="center" vertical="center" shrinkToFit="1"/>
    </xf>
    <xf numFmtId="0" fontId="192" fillId="0" borderId="100" xfId="2" applyFont="1" applyBorder="1" applyAlignment="1" applyProtection="1">
      <alignment horizontal="center" vertical="center" shrinkToFit="1"/>
    </xf>
    <xf numFmtId="0" fontId="123" fillId="5" borderId="31" xfId="0" applyFont="1" applyFill="1" applyBorder="1" applyAlignment="1">
      <alignment horizontal="center" vertical="center" shrinkToFit="1"/>
    </xf>
    <xf numFmtId="0" fontId="122" fillId="5" borderId="79" xfId="0" applyFont="1" applyFill="1" applyBorder="1" applyAlignment="1">
      <alignment horizontal="center" vertical="center" shrinkToFit="1"/>
    </xf>
    <xf numFmtId="178" fontId="194" fillId="0" borderId="42" xfId="0" applyNumberFormat="1" applyFont="1" applyBorder="1" applyAlignment="1" applyProtection="1">
      <alignment horizontal="center" vertical="center"/>
      <protection locked="0"/>
    </xf>
    <xf numFmtId="178" fontId="194" fillId="0" borderId="43" xfId="0" applyNumberFormat="1" applyFont="1" applyBorder="1" applyAlignment="1" applyProtection="1">
      <alignment horizontal="center" vertical="center"/>
      <protection locked="0"/>
    </xf>
    <xf numFmtId="178" fontId="194" fillId="0" borderId="164" xfId="0" applyNumberFormat="1" applyFont="1" applyBorder="1" applyAlignment="1" applyProtection="1">
      <alignment horizontal="center" vertical="center"/>
      <protection locked="0"/>
    </xf>
    <xf numFmtId="181" fontId="133" fillId="3" borderId="102" xfId="0" applyNumberFormat="1" applyFont="1" applyFill="1" applyBorder="1" applyAlignment="1">
      <alignment horizontal="center" vertical="center" shrinkToFit="1"/>
    </xf>
    <xf numFmtId="181" fontId="133" fillId="3" borderId="103" xfId="0" applyNumberFormat="1" applyFont="1" applyFill="1" applyBorder="1" applyAlignment="1">
      <alignment horizontal="center" vertical="center" shrinkToFit="1"/>
    </xf>
    <xf numFmtId="181" fontId="133" fillId="3" borderId="104" xfId="0" applyNumberFormat="1" applyFont="1" applyFill="1" applyBorder="1" applyAlignment="1">
      <alignment horizontal="center" vertical="center" shrinkToFit="1"/>
    </xf>
    <xf numFmtId="170" fontId="118" fillId="0" borderId="46" xfId="0" applyNumberFormat="1" applyFont="1" applyBorder="1" applyAlignment="1">
      <alignment horizontal="center" vertical="center" shrinkToFit="1"/>
    </xf>
    <xf numFmtId="0" fontId="153" fillId="0" borderId="94" xfId="0" applyFont="1" applyBorder="1" applyAlignment="1">
      <alignment horizontal="center" vertical="center" shrinkToFit="1"/>
    </xf>
    <xf numFmtId="0" fontId="153" fillId="0" borderId="45" xfId="0" applyFont="1" applyBorder="1" applyAlignment="1">
      <alignment horizontal="center" vertical="center" shrinkToFit="1"/>
    </xf>
    <xf numFmtId="0" fontId="124" fillId="5" borderId="94" xfId="0" applyFont="1" applyFill="1" applyBorder="1" applyAlignment="1">
      <alignment horizontal="center" vertical="center"/>
    </xf>
    <xf numFmtId="0" fontId="148" fillId="3" borderId="34" xfId="0" applyFont="1" applyFill="1" applyBorder="1" applyAlignment="1">
      <alignment horizontal="center" vertical="center" wrapText="1" shrinkToFit="1"/>
    </xf>
    <xf numFmtId="0" fontId="135" fillId="0" borderId="34" xfId="0" applyFont="1" applyBorder="1" applyAlignment="1">
      <alignment horizontal="center" vertical="center" wrapText="1"/>
    </xf>
    <xf numFmtId="224" fontId="122" fillId="0" borderId="44" xfId="0" applyNumberFormat="1" applyFont="1" applyBorder="1" applyAlignment="1">
      <alignment horizontal="center" vertical="center" shrinkToFit="1"/>
    </xf>
    <xf numFmtId="224" fontId="122" fillId="0" borderId="94" xfId="0" applyNumberFormat="1" applyFont="1" applyBorder="1" applyAlignment="1">
      <alignment horizontal="center" vertical="center" shrinkToFit="1"/>
    </xf>
    <xf numFmtId="178" fontId="194" fillId="0" borderId="44" xfId="0" applyNumberFormat="1" applyFont="1" applyBorder="1" applyAlignment="1" applyProtection="1">
      <alignment horizontal="center" vertical="center"/>
      <protection locked="0"/>
    </xf>
    <xf numFmtId="178" fontId="194" fillId="0" borderId="94" xfId="0" applyNumberFormat="1" applyFont="1" applyBorder="1" applyAlignment="1" applyProtection="1">
      <alignment horizontal="center" vertical="center"/>
      <protection locked="0"/>
    </xf>
    <xf numFmtId="178" fontId="194" fillId="0" borderId="113" xfId="0" applyNumberFormat="1" applyFont="1" applyBorder="1" applyAlignment="1" applyProtection="1">
      <alignment horizontal="center" vertical="center"/>
      <protection locked="0"/>
    </xf>
    <xf numFmtId="224" fontId="122" fillId="0" borderId="107" xfId="0" applyNumberFormat="1" applyFont="1" applyBorder="1" applyAlignment="1">
      <alignment horizontal="center" vertical="center" shrinkToFit="1"/>
    </xf>
    <xf numFmtId="224" fontId="122" fillId="0" borderId="34" xfId="0" applyNumberFormat="1" applyFont="1" applyBorder="1" applyAlignment="1">
      <alignment horizontal="center" vertical="center" shrinkToFit="1"/>
    </xf>
    <xf numFmtId="224" fontId="122" fillId="0" borderId="20" xfId="0" applyNumberFormat="1" applyFont="1" applyBorder="1" applyAlignment="1">
      <alignment horizontal="center" vertical="center" shrinkToFit="1"/>
    </xf>
    <xf numFmtId="0" fontId="124" fillId="5" borderId="3" xfId="0" applyFont="1" applyFill="1" applyBorder="1" applyAlignment="1">
      <alignment horizontal="center" vertical="center"/>
    </xf>
    <xf numFmtId="241" fontId="122" fillId="0" borderId="107" xfId="0" applyNumberFormat="1" applyFont="1" applyBorder="1" applyAlignment="1">
      <alignment horizontal="center" vertical="center" shrinkToFit="1"/>
    </xf>
    <xf numFmtId="241" fontId="122" fillId="0" borderId="20" xfId="0" applyNumberFormat="1" applyFont="1" applyBorder="1" applyAlignment="1">
      <alignment horizontal="center" vertical="center" shrinkToFit="1"/>
    </xf>
    <xf numFmtId="178" fontId="122" fillId="0" borderId="46" xfId="0" applyNumberFormat="1" applyFont="1" applyBorder="1" applyAlignment="1">
      <alignment horizontal="center" vertical="center" shrinkToFit="1"/>
    </xf>
    <xf numFmtId="178" fontId="122" fillId="0" borderId="94" xfId="0" applyNumberFormat="1" applyFont="1" applyBorder="1" applyAlignment="1">
      <alignment horizontal="center" vertical="center" shrinkToFit="1"/>
    </xf>
    <xf numFmtId="178" fontId="122" fillId="0" borderId="45" xfId="0" applyNumberFormat="1" applyFont="1" applyBorder="1" applyAlignment="1">
      <alignment horizontal="center" vertical="center" shrinkToFit="1"/>
    </xf>
    <xf numFmtId="4" fontId="120" fillId="0" borderId="95" xfId="0" applyNumberFormat="1" applyFont="1" applyBorder="1" applyAlignment="1">
      <alignment horizontal="center" vertical="center" shrinkToFit="1"/>
    </xf>
    <xf numFmtId="4" fontId="120" fillId="0" borderId="34" xfId="0" applyNumberFormat="1" applyFont="1" applyBorder="1" applyAlignment="1">
      <alignment horizontal="center" vertical="center" shrinkToFit="1"/>
    </xf>
    <xf numFmtId="4" fontId="120" fillId="0" borderId="153" xfId="0" applyNumberFormat="1" applyFont="1" applyBorder="1" applyAlignment="1">
      <alignment horizontal="center" vertical="center" shrinkToFit="1"/>
    </xf>
    <xf numFmtId="0" fontId="123" fillId="5" borderId="117" xfId="0" applyFont="1" applyFill="1" applyBorder="1" applyAlignment="1">
      <alignment horizontal="center" vertical="center"/>
    </xf>
    <xf numFmtId="0" fontId="123" fillId="5" borderId="3" xfId="0" applyFont="1" applyFill="1" applyBorder="1" applyAlignment="1">
      <alignment horizontal="center" vertical="center"/>
    </xf>
    <xf numFmtId="0" fontId="124" fillId="0" borderId="119" xfId="0" applyFont="1" applyBorder="1" applyAlignment="1">
      <alignment horizontal="center" vertical="center"/>
    </xf>
    <xf numFmtId="0" fontId="124" fillId="0" borderId="118" xfId="0" applyFont="1" applyBorder="1" applyAlignment="1">
      <alignment horizontal="center" vertical="center"/>
    </xf>
    <xf numFmtId="0" fontId="124" fillId="0" borderId="15" xfId="0" applyFont="1" applyBorder="1" applyAlignment="1">
      <alignment horizontal="center" vertical="center"/>
    </xf>
    <xf numFmtId="0" fontId="124" fillId="0" borderId="120" xfId="0" applyFont="1" applyBorder="1" applyAlignment="1">
      <alignment horizontal="center" vertical="center"/>
    </xf>
    <xf numFmtId="4" fontId="120" fillId="0" borderId="20" xfId="0" applyNumberFormat="1" applyFont="1" applyBorder="1" applyAlignment="1">
      <alignment horizontal="center" vertical="center" shrinkToFit="1"/>
    </xf>
    <xf numFmtId="4" fontId="120" fillId="0" borderId="107" xfId="0" applyNumberFormat="1" applyFont="1" applyBorder="1" applyAlignment="1">
      <alignment horizontal="center" vertical="center" shrinkToFit="1"/>
    </xf>
    <xf numFmtId="0" fontId="123" fillId="5" borderId="117" xfId="0" applyFont="1" applyFill="1" applyBorder="1" applyAlignment="1">
      <alignment horizontal="center" vertical="center" wrapText="1"/>
    </xf>
    <xf numFmtId="0" fontId="123" fillId="5" borderId="3" xfId="0" applyFont="1" applyFill="1" applyBorder="1" applyAlignment="1">
      <alignment horizontal="center" vertical="center" wrapText="1"/>
    </xf>
    <xf numFmtId="0" fontId="124" fillId="0" borderId="3" xfId="0" applyFont="1" applyBorder="1" applyAlignment="1">
      <alignment horizontal="center" vertical="center" wrapText="1"/>
    </xf>
    <xf numFmtId="0" fontId="124" fillId="0" borderId="118" xfId="0" applyFont="1" applyBorder="1" applyAlignment="1">
      <alignment horizontal="center" vertical="center" wrapText="1"/>
    </xf>
    <xf numFmtId="0" fontId="0" fillId="0" borderId="34" xfId="0" applyBorder="1" applyAlignment="1">
      <alignment horizontal="center" vertical="center" wrapText="1" shrinkToFit="1"/>
    </xf>
    <xf numFmtId="0" fontId="0" fillId="0" borderId="116" xfId="0" applyBorder="1" applyAlignment="1">
      <alignment horizontal="center" vertical="center" wrapText="1" shrinkToFit="1"/>
    </xf>
    <xf numFmtId="304" fontId="122" fillId="0" borderId="98" xfId="0" applyNumberFormat="1" applyFont="1" applyBorder="1" applyAlignment="1">
      <alignment horizontal="center" vertical="center" shrinkToFit="1"/>
    </xf>
    <xf numFmtId="304" fontId="0" fillId="0" borderId="97" xfId="0" applyNumberFormat="1" applyBorder="1" applyAlignment="1">
      <alignment shrinkToFit="1"/>
    </xf>
    <xf numFmtId="304" fontId="0" fillId="0" borderId="103" xfId="0" applyNumberFormat="1" applyBorder="1" applyAlignment="1">
      <alignment shrinkToFit="1"/>
    </xf>
    <xf numFmtId="0" fontId="185" fillId="0" borderId="0" xfId="0" applyFont="1" applyAlignment="1">
      <alignment horizontal="center" vertical="center" shrinkToFit="1"/>
    </xf>
    <xf numFmtId="0" fontId="3" fillId="0" borderId="0" xfId="0" applyFont="1" applyAlignment="1">
      <alignment horizontal="center" vertical="center" shrinkToFit="1"/>
    </xf>
    <xf numFmtId="0" fontId="97" fillId="3" borderId="31" xfId="0" applyFont="1" applyFill="1" applyBorder="1" applyAlignment="1">
      <alignment horizontal="center" vertical="center" wrapText="1"/>
    </xf>
    <xf numFmtId="0" fontId="0" fillId="0" borderId="3" xfId="0" applyBorder="1" applyAlignment="1">
      <alignment horizontal="center" vertical="center" wrapText="1"/>
    </xf>
    <xf numFmtId="0" fontId="26" fillId="3" borderId="0" xfId="0" applyFont="1" applyFill="1" applyAlignment="1">
      <alignment horizontal="justify" vertical="center" wrapText="1"/>
    </xf>
    <xf numFmtId="0" fontId="14" fillId="0" borderId="0" xfId="0" applyFont="1" applyAlignment="1">
      <alignment horizontal="justify" vertical="center" wrapText="1"/>
    </xf>
    <xf numFmtId="0" fontId="125" fillId="3" borderId="0" xfId="0" quotePrefix="1" applyFont="1" applyFill="1" applyAlignment="1">
      <alignment horizontal="justify" vertical="top" wrapText="1"/>
    </xf>
    <xf numFmtId="0" fontId="146" fillId="3" borderId="0" xfId="0" applyFont="1" applyFill="1" applyAlignment="1">
      <alignment horizontal="justify" vertical="top" wrapText="1"/>
    </xf>
    <xf numFmtId="0" fontId="145" fillId="3" borderId="0" xfId="0" applyFont="1" applyFill="1" applyAlignment="1">
      <alignment horizontal="justify" vertical="top" wrapText="1"/>
    </xf>
    <xf numFmtId="0" fontId="146" fillId="3" borderId="0" xfId="0" applyFont="1" applyFill="1" applyAlignment="1">
      <alignment horizontal="justify" vertical="center" wrapText="1"/>
    </xf>
    <xf numFmtId="0" fontId="145" fillId="3" borderId="0" xfId="0" applyFont="1" applyFill="1" applyAlignment="1">
      <alignment horizontal="justify" vertical="center" wrapText="1"/>
    </xf>
    <xf numFmtId="274" fontId="173" fillId="0" borderId="97" xfId="0" applyNumberFormat="1" applyFont="1" applyBorder="1" applyAlignment="1">
      <alignment horizontal="center" vertical="center"/>
    </xf>
    <xf numFmtId="246" fontId="173" fillId="0" borderId="98" xfId="0" applyNumberFormat="1" applyFont="1" applyBorder="1" applyAlignment="1">
      <alignment horizontal="left" vertical="center" indent="3"/>
    </xf>
    <xf numFmtId="246" fontId="173" fillId="0" borderId="97" xfId="0" applyNumberFormat="1" applyFont="1" applyBorder="1" applyAlignment="1">
      <alignment horizontal="left" vertical="center" indent="3"/>
    </xf>
    <xf numFmtId="266" fontId="173" fillId="0" borderId="97" xfId="0" applyNumberFormat="1" applyFont="1" applyBorder="1" applyAlignment="1">
      <alignment horizontal="center" vertical="center" shrinkToFit="1"/>
    </xf>
    <xf numFmtId="0" fontId="170" fillId="3" borderId="46" xfId="0" applyFont="1" applyFill="1" applyBorder="1" applyAlignment="1" applyProtection="1">
      <alignment horizontal="center" vertical="center" shrinkToFit="1"/>
      <protection locked="0"/>
    </xf>
    <xf numFmtId="0" fontId="19" fillId="0" borderId="94" xfId="0" applyFont="1" applyBorder="1" applyAlignment="1">
      <alignment horizontal="center" vertical="center" shrinkToFit="1"/>
    </xf>
    <xf numFmtId="0" fontId="19" fillId="0" borderId="45" xfId="0" applyFont="1" applyBorder="1" applyAlignment="1">
      <alignment horizontal="center" vertical="center" shrinkToFit="1"/>
    </xf>
    <xf numFmtId="0" fontId="0" fillId="0" borderId="0" xfId="0" applyAlignment="1">
      <alignment horizontal="justify" vertical="center" wrapText="1"/>
    </xf>
    <xf numFmtId="0" fontId="125" fillId="3" borderId="3" xfId="0" quotePrefix="1" applyFont="1" applyFill="1" applyBorder="1" applyAlignment="1">
      <alignment horizontal="justify" vertical="center" wrapText="1"/>
    </xf>
    <xf numFmtId="0" fontId="0" fillId="0" borderId="3" xfId="0" applyBorder="1" applyAlignment="1">
      <alignment horizontal="justify" vertical="center" wrapText="1"/>
    </xf>
    <xf numFmtId="250" fontId="118" fillId="0" borderId="98" xfId="0" applyNumberFormat="1" applyFont="1" applyBorder="1" applyAlignment="1">
      <alignment horizontal="center" vertical="center" shrinkToFit="1"/>
    </xf>
    <xf numFmtId="250" fontId="1" fillId="0" borderId="103" xfId="0" applyNumberFormat="1" applyFont="1" applyBorder="1" applyAlignment="1">
      <alignment horizontal="center" vertical="center"/>
    </xf>
    <xf numFmtId="0" fontId="122" fillId="3" borderId="98" xfId="0" applyFont="1" applyFill="1" applyBorder="1" applyAlignment="1">
      <alignment horizontal="center" vertical="center" shrinkToFit="1"/>
    </xf>
    <xf numFmtId="0" fontId="124" fillId="0" borderId="103" xfId="0" applyFont="1" applyBorder="1" applyAlignment="1">
      <alignment horizontal="center" vertical="center" shrinkToFit="1"/>
    </xf>
    <xf numFmtId="0" fontId="124" fillId="0" borderId="24" xfId="0" applyFont="1" applyBorder="1" applyAlignment="1">
      <alignment horizontal="center" vertical="center" wrapText="1"/>
    </xf>
    <xf numFmtId="0" fontId="124" fillId="0" borderId="29" xfId="0" applyFont="1" applyBorder="1" applyAlignment="1">
      <alignment horizontal="center" vertical="center" wrapText="1"/>
    </xf>
    <xf numFmtId="0" fontId="124" fillId="0" borderId="30" xfId="0" applyFont="1" applyBorder="1" applyAlignment="1">
      <alignment horizontal="center" vertical="center" wrapText="1"/>
    </xf>
    <xf numFmtId="178" fontId="118" fillId="0" borderId="44" xfId="0" applyNumberFormat="1" applyFont="1" applyBorder="1" applyAlignment="1">
      <alignment horizontal="center" vertical="center" shrinkToFit="1"/>
    </xf>
    <xf numFmtId="178" fontId="118" fillId="0" borderId="94" xfId="0" applyNumberFormat="1" applyFont="1" applyBorder="1" applyAlignment="1">
      <alignment horizontal="center" vertical="center" shrinkToFit="1"/>
    </xf>
    <xf numFmtId="178" fontId="118" fillId="0" borderId="45" xfId="0" applyNumberFormat="1" applyFont="1" applyBorder="1" applyAlignment="1">
      <alignment horizontal="center" vertical="center" shrinkToFit="1"/>
    </xf>
    <xf numFmtId="0" fontId="71" fillId="0" borderId="98" xfId="2" applyFont="1" applyFill="1"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xf numFmtId="234" fontId="80" fillId="0" borderId="98" xfId="0" applyNumberFormat="1" applyFont="1" applyBorder="1" applyAlignment="1">
      <alignment horizontal="center" vertical="center" shrinkToFit="1"/>
    </xf>
    <xf numFmtId="0" fontId="0" fillId="0" borderId="97" xfId="0" applyBorder="1" applyAlignment="1">
      <alignment horizontal="center" vertical="center" shrinkToFit="1"/>
    </xf>
    <xf numFmtId="0" fontId="0" fillId="0" borderId="103" xfId="0" applyBorder="1" applyAlignment="1">
      <alignment horizontal="center" vertical="center" shrinkToFit="1"/>
    </xf>
    <xf numFmtId="0" fontId="186" fillId="9" borderId="79" xfId="0" applyFont="1" applyFill="1" applyBorder="1" applyAlignment="1">
      <alignment horizontal="center" vertical="center" shrinkToFit="1"/>
    </xf>
    <xf numFmtId="0" fontId="185" fillId="9" borderId="99" xfId="0" applyFont="1" applyFill="1" applyBorder="1" applyAlignment="1">
      <alignment horizontal="center" vertical="center" shrinkToFit="1"/>
    </xf>
    <xf numFmtId="0" fontId="0" fillId="0" borderId="99" xfId="0" applyBorder="1" applyAlignment="1">
      <alignment horizontal="center" vertical="center" shrinkToFit="1"/>
    </xf>
    <xf numFmtId="267" fontId="122" fillId="0" borderId="107" xfId="0" applyNumberFormat="1" applyFont="1" applyBorder="1" applyAlignment="1">
      <alignment horizontal="center" vertical="center" shrinkToFit="1"/>
    </xf>
    <xf numFmtId="267" fontId="122" fillId="0" borderId="34" xfId="0" applyNumberFormat="1" applyFont="1" applyBorder="1" applyAlignment="1">
      <alignment horizontal="center" vertical="center" shrinkToFit="1"/>
    </xf>
    <xf numFmtId="267" fontId="122" fillId="0" borderId="116" xfId="0" applyNumberFormat="1" applyFont="1" applyBorder="1" applyAlignment="1">
      <alignment horizontal="center" vertical="center" shrinkToFit="1"/>
    </xf>
    <xf numFmtId="0" fontId="182" fillId="9" borderId="34" xfId="0" applyFont="1" applyFill="1" applyBorder="1" applyAlignment="1">
      <alignment horizontal="center" vertical="center" shrinkToFit="1"/>
    </xf>
    <xf numFmtId="0" fontId="0" fillId="0" borderId="116" xfId="0" applyBorder="1" applyAlignment="1">
      <alignment horizontal="center" vertical="center" shrinkToFit="1"/>
    </xf>
    <xf numFmtId="0" fontId="123" fillId="5" borderId="107" xfId="0" applyFont="1" applyFill="1" applyBorder="1" applyAlignment="1">
      <alignment horizontal="center" vertical="center" shrinkToFit="1"/>
    </xf>
    <xf numFmtId="0" fontId="135" fillId="0" borderId="34" xfId="0" applyFont="1" applyBorder="1" applyAlignment="1">
      <alignment horizontal="center" vertical="center" shrinkToFit="1"/>
    </xf>
    <xf numFmtId="0" fontId="135" fillId="0" borderId="116" xfId="0" applyFont="1" applyBorder="1" applyAlignment="1">
      <alignment horizontal="center" vertical="center" shrinkToFit="1"/>
    </xf>
    <xf numFmtId="0" fontId="121" fillId="9" borderId="0" xfId="2" applyFont="1" applyFill="1" applyAlignment="1" applyProtection="1">
      <alignment vertical="top"/>
    </xf>
    <xf numFmtId="193" fontId="120" fillId="3" borderId="0" xfId="0" quotePrefix="1" applyNumberFormat="1" applyFont="1" applyFill="1" applyAlignment="1">
      <alignment horizontal="justify" vertical="top" wrapText="1" shrinkToFit="1"/>
    </xf>
    <xf numFmtId="0" fontId="0" fillId="0" borderId="0" xfId="0" applyAlignment="1">
      <alignment wrapText="1"/>
    </xf>
    <xf numFmtId="0" fontId="118" fillId="3" borderId="0" xfId="0" applyFont="1" applyFill="1" applyAlignment="1">
      <alignment horizontal="center"/>
    </xf>
    <xf numFmtId="0" fontId="0" fillId="0" borderId="0" xfId="0" applyAlignment="1">
      <alignment horizontal="center"/>
    </xf>
    <xf numFmtId="0" fontId="118" fillId="3" borderId="0" xfId="0" applyFont="1" applyFill="1" applyAlignment="1">
      <alignment horizontal="center" vertical="top"/>
    </xf>
    <xf numFmtId="0" fontId="0" fillId="0" borderId="0" xfId="0" applyAlignment="1">
      <alignment horizontal="center" vertical="top"/>
    </xf>
    <xf numFmtId="0" fontId="37" fillId="3" borderId="0" xfId="0" quotePrefix="1" applyFont="1" applyFill="1" applyAlignment="1">
      <alignment horizontal="center" vertical="center" wrapText="1"/>
    </xf>
    <xf numFmtId="0" fontId="37" fillId="3" borderId="0" xfId="0" applyFont="1" applyFill="1" applyAlignment="1">
      <alignment horizontal="center" vertical="center" wrapText="1"/>
    </xf>
    <xf numFmtId="0" fontId="122" fillId="3" borderId="23" xfId="0" quotePrefix="1" applyFont="1" applyFill="1" applyBorder="1" applyAlignment="1">
      <alignment horizontal="left" vertical="center" wrapText="1"/>
    </xf>
    <xf numFmtId="0" fontId="124" fillId="0" borderId="0" xfId="0" applyFont="1" applyAlignment="1">
      <alignment horizontal="justify" vertical="center" wrapText="1"/>
    </xf>
    <xf numFmtId="0" fontId="175" fillId="9" borderId="0" xfId="0" applyFont="1" applyFill="1" applyAlignment="1">
      <alignment horizontal="center" vertical="center"/>
    </xf>
    <xf numFmtId="0" fontId="176" fillId="0" borderId="0" xfId="0" applyFont="1" applyAlignment="1">
      <alignment horizontal="center" vertical="center"/>
    </xf>
    <xf numFmtId="0" fontId="120" fillId="3" borderId="8" xfId="0" quotePrefix="1" applyFont="1" applyFill="1" applyBorder="1" applyAlignment="1">
      <alignment horizontal="left" vertical="center"/>
    </xf>
    <xf numFmtId="0" fontId="124" fillId="0" borderId="8" xfId="0" applyFont="1" applyBorder="1" applyAlignment="1">
      <alignment horizontal="left" vertical="center"/>
    </xf>
    <xf numFmtId="0" fontId="37" fillId="3" borderId="0" xfId="0" applyFont="1" applyFill="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wrapText="1"/>
    </xf>
    <xf numFmtId="250" fontId="127" fillId="0" borderId="40" xfId="0" applyNumberFormat="1" applyFont="1" applyBorder="1" applyAlignment="1" applyProtection="1">
      <alignment horizontal="center" vertical="center" shrinkToFit="1"/>
      <protection locked="0"/>
    </xf>
    <xf numFmtId="0" fontId="0" fillId="0" borderId="41" xfId="0" applyBorder="1" applyAlignment="1">
      <alignment horizontal="center" vertical="center" shrinkToFit="1"/>
    </xf>
    <xf numFmtId="250" fontId="181" fillId="0" borderId="40" xfId="0" applyNumberFormat="1" applyFont="1" applyBorder="1" applyAlignment="1">
      <alignment horizontal="center" vertical="center" shrinkToFit="1"/>
    </xf>
    <xf numFmtId="0" fontId="117" fillId="0" borderId="41" xfId="0" applyFont="1" applyBorder="1" applyAlignment="1">
      <alignment horizontal="center" vertical="center" shrinkToFit="1"/>
    </xf>
    <xf numFmtId="291" fontId="181" fillId="0" borderId="40" xfId="0" applyNumberFormat="1" applyFont="1" applyBorder="1" applyAlignment="1">
      <alignment horizontal="center" vertical="center" shrinkToFit="1"/>
    </xf>
    <xf numFmtId="291" fontId="117" fillId="0" borderId="41" xfId="0" applyNumberFormat="1" applyFont="1" applyBorder="1" applyAlignment="1">
      <alignment horizontal="center" vertical="center" shrinkToFit="1"/>
    </xf>
    <xf numFmtId="0" fontId="120" fillId="3" borderId="8" xfId="0" quotePrefix="1" applyFont="1" applyFill="1" applyBorder="1" applyAlignment="1">
      <alignment horizontal="center" vertical="center" wrapText="1"/>
    </xf>
    <xf numFmtId="0" fontId="124" fillId="0" borderId="8" xfId="0" applyFont="1" applyBorder="1" applyAlignment="1">
      <alignment horizontal="center" vertical="center" wrapText="1"/>
    </xf>
    <xf numFmtId="255" fontId="22" fillId="0" borderId="23" xfId="0" applyNumberFormat="1" applyFont="1" applyBorder="1" applyAlignment="1">
      <alignment horizontal="left" shrinkToFit="1"/>
    </xf>
    <xf numFmtId="255" fontId="22" fillId="0" borderId="0" xfId="0" applyNumberFormat="1" applyFont="1" applyAlignment="1">
      <alignment horizontal="left" shrinkToFit="1"/>
    </xf>
    <xf numFmtId="235" fontId="179" fillId="12" borderId="40" xfId="0" applyNumberFormat="1" applyFont="1" applyFill="1" applyBorder="1" applyAlignment="1" applyProtection="1">
      <alignment horizontal="center" vertical="center"/>
      <protection locked="0"/>
    </xf>
    <xf numFmtId="235" fontId="180" fillId="12" borderId="41" xfId="0" applyNumberFormat="1" applyFont="1" applyFill="1" applyBorder="1" applyAlignment="1" applyProtection="1">
      <alignment horizontal="center" vertical="center"/>
      <protection locked="0"/>
    </xf>
    <xf numFmtId="0" fontId="121" fillId="3" borderId="0" xfId="2" applyFont="1" applyFill="1" applyBorder="1" applyAlignment="1" applyProtection="1">
      <alignment horizontal="left" vertical="center" wrapText="1"/>
    </xf>
    <xf numFmtId="259" fontId="128" fillId="0" borderId="40" xfId="0" applyNumberFormat="1" applyFont="1" applyBorder="1" applyAlignment="1" applyProtection="1">
      <alignment horizontal="center" vertical="center"/>
      <protection locked="0"/>
    </xf>
    <xf numFmtId="259" fontId="128" fillId="0" borderId="41" xfId="0" applyNumberFormat="1" applyFont="1" applyBorder="1" applyAlignment="1" applyProtection="1">
      <alignment horizontal="center" vertical="center"/>
      <protection locked="0"/>
    </xf>
    <xf numFmtId="251" fontId="128" fillId="0" borderId="40" xfId="0" applyNumberFormat="1" applyFont="1" applyBorder="1" applyAlignment="1" applyProtection="1">
      <alignment horizontal="center" vertical="center"/>
      <protection locked="0"/>
    </xf>
    <xf numFmtId="251" fontId="124" fillId="0" borderId="41" xfId="0" applyNumberFormat="1" applyFont="1" applyBorder="1" applyProtection="1">
      <protection locked="0"/>
    </xf>
    <xf numFmtId="250" fontId="127" fillId="0" borderId="41" xfId="0" applyNumberFormat="1" applyFont="1" applyBorder="1" applyAlignment="1" applyProtection="1">
      <alignment horizontal="center" vertical="center" shrinkToFit="1"/>
      <protection locked="0"/>
    </xf>
    <xf numFmtId="250" fontId="162" fillId="0" borderId="40" xfId="0" applyNumberFormat="1" applyFont="1" applyBorder="1" applyAlignment="1" applyProtection="1">
      <alignment horizontal="center" vertical="center" shrinkToFit="1"/>
      <protection locked="0"/>
    </xf>
    <xf numFmtId="250" fontId="162" fillId="0" borderId="41" xfId="0" applyNumberFormat="1" applyFont="1" applyBorder="1" applyAlignment="1" applyProtection="1">
      <alignment horizontal="center" vertical="center" shrinkToFit="1"/>
      <protection locked="0"/>
    </xf>
    <xf numFmtId="0" fontId="122" fillId="3" borderId="23" xfId="0" quotePrefix="1" applyFont="1" applyFill="1" applyBorder="1" applyAlignment="1">
      <alignment horizontal="justify" wrapText="1"/>
    </xf>
    <xf numFmtId="0" fontId="124" fillId="0" borderId="0" xfId="0" applyFont="1" applyAlignment="1">
      <alignment horizontal="justify" wrapText="1"/>
    </xf>
    <xf numFmtId="0" fontId="124" fillId="0" borderId="23" xfId="0" applyFont="1" applyBorder="1" applyAlignment="1">
      <alignment horizontal="justify" wrapText="1"/>
    </xf>
    <xf numFmtId="245" fontId="122" fillId="11" borderId="23" xfId="0" applyNumberFormat="1" applyFont="1" applyFill="1" applyBorder="1" applyAlignment="1" applyProtection="1">
      <alignment horizontal="justify"/>
      <protection locked="0"/>
    </xf>
    <xf numFmtId="0" fontId="124" fillId="0" borderId="0" xfId="0" applyFont="1" applyAlignment="1">
      <alignment horizontal="justify"/>
    </xf>
    <xf numFmtId="302" fontId="122" fillId="9" borderId="40" xfId="0" applyNumberFormat="1" applyFont="1" applyFill="1" applyBorder="1" applyAlignment="1">
      <alignment horizontal="right" vertical="center"/>
    </xf>
    <xf numFmtId="302" fontId="122" fillId="9" borderId="49" xfId="0" applyNumberFormat="1" applyFont="1" applyFill="1" applyBorder="1" applyAlignment="1">
      <alignment horizontal="right" vertical="center"/>
    </xf>
    <xf numFmtId="0" fontId="122" fillId="3" borderId="0" xfId="0" applyFont="1" applyFill="1" applyAlignment="1">
      <alignment horizontal="justify" vertical="top" wrapText="1"/>
    </xf>
    <xf numFmtId="0" fontId="124" fillId="0" borderId="0" xfId="0" applyFont="1" applyAlignment="1">
      <alignment horizontal="justify" vertical="top" wrapText="1"/>
    </xf>
    <xf numFmtId="0" fontId="122" fillId="3" borderId="135" xfId="0" quotePrefix="1" applyFont="1" applyFill="1" applyBorder="1" applyAlignment="1">
      <alignment horizontal="center" vertical="center" shrinkToFit="1"/>
    </xf>
    <xf numFmtId="0" fontId="124" fillId="3" borderId="165" xfId="0" applyFont="1" applyFill="1" applyBorder="1" applyAlignment="1">
      <alignment horizontal="center" vertical="center" shrinkToFit="1"/>
    </xf>
    <xf numFmtId="0" fontId="124" fillId="3" borderId="55" xfId="0" applyFont="1" applyFill="1" applyBorder="1" applyAlignment="1">
      <alignment horizontal="center" vertical="center" shrinkToFit="1"/>
    </xf>
    <xf numFmtId="262" fontId="122" fillId="9" borderId="0" xfId="0" applyNumberFormat="1" applyFont="1" applyFill="1" applyAlignment="1" applyProtection="1">
      <alignment horizontal="justify" vertical="center" wrapText="1"/>
      <protection locked="0"/>
    </xf>
    <xf numFmtId="0" fontId="10" fillId="0" borderId="0" xfId="0" applyFont="1" applyAlignment="1">
      <alignment horizontal="justify" vertical="center" wrapText="1"/>
    </xf>
    <xf numFmtId="303" fontId="122" fillId="11" borderId="49" xfId="0" applyNumberFormat="1" applyFont="1" applyFill="1" applyBorder="1" applyAlignment="1">
      <alignment horizontal="center" vertical="center" shrinkToFit="1"/>
    </xf>
    <xf numFmtId="303" fontId="122" fillId="11" borderId="41" xfId="0" applyNumberFormat="1" applyFont="1" applyFill="1" applyBorder="1" applyAlignment="1">
      <alignment horizontal="center" vertical="center" shrinkToFit="1"/>
    </xf>
    <xf numFmtId="250" fontId="165" fillId="0" borderId="35" xfId="0" applyNumberFormat="1" applyFont="1" applyBorder="1" applyAlignment="1" applyProtection="1">
      <alignment horizontal="center" vertical="center" shrinkToFit="1"/>
      <protection locked="0"/>
    </xf>
    <xf numFmtId="250" fontId="124" fillId="0" borderId="166" xfId="0" applyNumberFormat="1" applyFont="1" applyBorder="1" applyAlignment="1" applyProtection="1">
      <alignment vertical="center" shrinkToFit="1"/>
      <protection locked="0"/>
    </xf>
    <xf numFmtId="288" fontId="122" fillId="9" borderId="40" xfId="0" applyNumberFormat="1" applyFont="1" applyFill="1" applyBorder="1" applyAlignment="1">
      <alignment horizontal="center" vertical="center" shrinkToFit="1"/>
    </xf>
    <xf numFmtId="288" fontId="0" fillId="0" borderId="41" xfId="0" applyNumberFormat="1" applyBorder="1" applyAlignment="1">
      <alignment horizontal="center" vertical="center" shrinkToFit="1"/>
    </xf>
    <xf numFmtId="0" fontId="115" fillId="3" borderId="25" xfId="0" quotePrefix="1" applyFont="1" applyFill="1" applyBorder="1" applyAlignment="1">
      <alignment horizontal="center" vertical="center" wrapText="1"/>
    </xf>
    <xf numFmtId="0" fontId="116" fillId="0" borderId="25" xfId="0" applyFont="1" applyBorder="1" applyAlignment="1">
      <alignment horizontal="center" vertical="center" wrapText="1"/>
    </xf>
    <xf numFmtId="0" fontId="116" fillId="0" borderId="166" xfId="0" applyFont="1" applyBorder="1" applyAlignment="1">
      <alignment horizontal="center" vertical="center" wrapText="1"/>
    </xf>
    <xf numFmtId="0" fontId="116" fillId="0" borderId="0" xfId="0" applyFont="1" applyAlignment="1">
      <alignment horizontal="center" vertical="center" wrapText="1"/>
    </xf>
    <xf numFmtId="0" fontId="116" fillId="0" borderId="8" xfId="0" applyFont="1" applyBorder="1" applyAlignment="1">
      <alignment horizontal="center" vertical="center" wrapText="1"/>
    </xf>
    <xf numFmtId="0" fontId="88" fillId="3" borderId="0" xfId="0" quotePrefix="1" applyFont="1" applyFill="1" applyAlignment="1">
      <alignment horizontal="justify" vertical="top" wrapText="1"/>
    </xf>
    <xf numFmtId="0" fontId="88" fillId="3" borderId="0" xfId="0" applyFont="1" applyFill="1" applyAlignment="1">
      <alignment horizontal="justify" vertical="top" wrapText="1"/>
    </xf>
    <xf numFmtId="0" fontId="88" fillId="3" borderId="8" xfId="0" applyFont="1" applyFill="1" applyBorder="1" applyAlignment="1">
      <alignment horizontal="justify" vertical="top" wrapText="1"/>
    </xf>
    <xf numFmtId="0" fontId="122" fillId="11" borderId="167" xfId="0" applyFont="1" applyFill="1" applyBorder="1" applyAlignment="1">
      <alignment horizontal="center" vertical="center"/>
    </xf>
    <xf numFmtId="0" fontId="122" fillId="11" borderId="2" xfId="0" applyFont="1" applyFill="1" applyBorder="1" applyAlignment="1">
      <alignment horizontal="center" vertical="center"/>
    </xf>
    <xf numFmtId="300" fontId="128" fillId="0" borderId="40" xfId="0" applyNumberFormat="1" applyFont="1" applyBorder="1" applyAlignment="1" applyProtection="1">
      <alignment horizontal="center" vertical="center" shrinkToFit="1"/>
      <protection locked="0"/>
    </xf>
    <xf numFmtId="300" fontId="129" fillId="0" borderId="41" xfId="0" applyNumberFormat="1" applyFont="1" applyBorder="1" applyAlignment="1" applyProtection="1">
      <alignment shrinkToFit="1"/>
      <protection locked="0"/>
    </xf>
    <xf numFmtId="0" fontId="113" fillId="3" borderId="0" xfId="0" applyFont="1" applyFill="1" applyAlignment="1">
      <alignment horizontal="center" wrapText="1"/>
    </xf>
    <xf numFmtId="0" fontId="114" fillId="3" borderId="0" xfId="0" applyFont="1" applyFill="1" applyAlignment="1">
      <alignment horizontal="center" wrapText="1"/>
    </xf>
    <xf numFmtId="0" fontId="120" fillId="3" borderId="0" xfId="0" quotePrefix="1" applyFont="1" applyFill="1" applyAlignment="1">
      <alignment horizontal="justify" vertical="center" wrapText="1"/>
    </xf>
    <xf numFmtId="0" fontId="120" fillId="3" borderId="0" xfId="0" applyFont="1" applyFill="1" applyAlignment="1">
      <alignment horizontal="justify" vertical="center" wrapText="1"/>
    </xf>
    <xf numFmtId="0" fontId="130" fillId="3" borderId="0" xfId="0" applyFont="1" applyFill="1" applyAlignment="1">
      <alignment horizontal="justify" vertical="center" wrapText="1"/>
    </xf>
    <xf numFmtId="0" fontId="163" fillId="9" borderId="0" xfId="0" applyFont="1" applyFill="1" applyAlignment="1">
      <alignment horizontal="center" vertical="top" wrapText="1"/>
    </xf>
    <xf numFmtId="0" fontId="121" fillId="3" borderId="0" xfId="2" applyFont="1" applyFill="1" applyBorder="1" applyAlignment="1" applyProtection="1">
      <alignment horizontal="center" vertical="center"/>
    </xf>
    <xf numFmtId="0" fontId="124" fillId="0" borderId="0" xfId="0" applyFont="1" applyAlignment="1">
      <alignment horizontal="center" vertical="center"/>
    </xf>
    <xf numFmtId="212" fontId="120" fillId="3" borderId="0" xfId="0" quotePrefix="1" applyNumberFormat="1" applyFont="1" applyFill="1" applyAlignment="1">
      <alignment horizontal="justify" vertical="center" wrapText="1" shrinkToFit="1"/>
    </xf>
    <xf numFmtId="0" fontId="0" fillId="0" borderId="0" xfId="0" applyAlignment="1">
      <alignment vertical="center" wrapText="1"/>
    </xf>
    <xf numFmtId="0" fontId="175" fillId="9" borderId="0" xfId="0" applyFont="1" applyFill="1" applyAlignment="1">
      <alignment horizontal="center"/>
    </xf>
    <xf numFmtId="0" fontId="176" fillId="0" borderId="0" xfId="0" applyFont="1" applyAlignment="1">
      <alignment horizontal="center"/>
    </xf>
    <xf numFmtId="0" fontId="0" fillId="0" borderId="0" xfId="0"/>
    <xf numFmtId="235" fontId="190" fillId="12" borderId="40" xfId="0" applyNumberFormat="1" applyFont="1" applyFill="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78" fillId="0" borderId="40" xfId="0" applyFont="1" applyBorder="1" applyAlignment="1" applyProtection="1">
      <alignment horizontal="center" vertical="center" shrinkToFit="1"/>
      <protection locked="0"/>
    </xf>
    <xf numFmtId="0" fontId="0" fillId="0" borderId="49" xfId="0" applyBorder="1" applyAlignment="1">
      <alignment horizontal="center" vertical="center" shrinkToFit="1"/>
    </xf>
    <xf numFmtId="0" fontId="122" fillId="3" borderId="0" xfId="0" quotePrefix="1" applyFont="1" applyFill="1" applyAlignment="1">
      <alignment horizontal="justify" vertical="top" wrapText="1"/>
    </xf>
    <xf numFmtId="0" fontId="0" fillId="0" borderId="0" xfId="0" applyAlignment="1">
      <alignment horizontal="justify" vertical="top" wrapText="1"/>
    </xf>
    <xf numFmtId="0" fontId="37" fillId="9" borderId="0" xfId="0" applyFont="1" applyFill="1" applyAlignment="1">
      <alignment horizontal="justify" vertical="center" wrapText="1"/>
    </xf>
    <xf numFmtId="0" fontId="22" fillId="9" borderId="0" xfId="0" applyFont="1" applyFill="1" applyAlignment="1">
      <alignment horizontal="justify" vertical="center" wrapText="1"/>
    </xf>
    <xf numFmtId="0" fontId="164" fillId="0" borderId="25"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256" fontId="22" fillId="0" borderId="0" xfId="0" applyNumberFormat="1" applyFont="1" applyProtection="1">
      <protection locked="0"/>
    </xf>
    <xf numFmtId="289" fontId="143" fillId="0" borderId="168" xfId="0" applyNumberFormat="1" applyFont="1" applyBorder="1" applyAlignment="1" applyProtection="1">
      <alignment horizontal="center" vertical="center" shrinkToFit="1"/>
      <protection locked="0"/>
    </xf>
    <xf numFmtId="289" fontId="0" fillId="0" borderId="169" xfId="0" applyNumberFormat="1" applyBorder="1" applyAlignment="1">
      <alignment horizontal="center" vertical="center" shrinkToFit="1"/>
    </xf>
    <xf numFmtId="287" fontId="122" fillId="3" borderId="171" xfId="0" applyNumberFormat="1" applyFont="1" applyFill="1" applyBorder="1" applyAlignment="1" applyProtection="1">
      <alignment horizontal="center" vertical="center" shrinkToFit="1"/>
      <protection locked="0"/>
    </xf>
    <xf numFmtId="287" fontId="3" fillId="0" borderId="168" xfId="0" applyNumberFormat="1" applyFont="1" applyBorder="1" applyAlignment="1">
      <alignment shrinkToFit="1"/>
    </xf>
    <xf numFmtId="287" fontId="3" fillId="0" borderId="169" xfId="0" applyNumberFormat="1" applyFont="1" applyBorder="1" applyAlignment="1">
      <alignment shrinkToFit="1"/>
    </xf>
    <xf numFmtId="0" fontId="122" fillId="3" borderId="0" xfId="0" quotePrefix="1" applyFont="1" applyFill="1" applyAlignment="1">
      <alignment horizontal="right" vertical="center" wrapText="1"/>
    </xf>
    <xf numFmtId="0" fontId="124" fillId="0" borderId="0" xfId="0" applyFont="1" applyAlignment="1">
      <alignment horizontal="right" vertical="center" wrapText="1"/>
    </xf>
    <xf numFmtId="0" fontId="192" fillId="11" borderId="11" xfId="2" applyNumberFormat="1" applyFont="1" applyFill="1" applyBorder="1" applyAlignment="1" applyProtection="1">
      <alignment horizontal="left" vertical="center" shrinkToFit="1"/>
    </xf>
    <xf numFmtId="0" fontId="192" fillId="11" borderId="13" xfId="2" applyNumberFormat="1" applyFont="1" applyFill="1" applyBorder="1" applyAlignment="1" applyProtection="1">
      <alignment horizontal="left" vertical="center" shrinkToFit="1"/>
    </xf>
    <xf numFmtId="0" fontId="122" fillId="11" borderId="23" xfId="0" applyFont="1" applyFill="1" applyBorder="1" applyAlignment="1">
      <alignment horizontal="justify" vertical="top" wrapText="1"/>
    </xf>
    <xf numFmtId="0" fontId="122" fillId="11" borderId="0" xfId="0" applyFont="1" applyFill="1" applyAlignment="1">
      <alignment horizontal="justify" vertical="top" wrapText="1"/>
    </xf>
    <xf numFmtId="0" fontId="37" fillId="9" borderId="0" xfId="0" quotePrefix="1" applyFont="1" applyFill="1" applyAlignment="1">
      <alignment horizontal="justify" vertical="center" wrapText="1"/>
    </xf>
    <xf numFmtId="0" fontId="177" fillId="0" borderId="40" xfId="0" applyFont="1" applyBorder="1" applyAlignment="1" applyProtection="1">
      <alignment horizontal="center" vertical="center" wrapText="1" shrinkToFit="1"/>
      <protection locked="0"/>
    </xf>
    <xf numFmtId="0" fontId="0" fillId="0" borderId="49" xfId="0" applyBorder="1" applyAlignment="1">
      <alignment horizontal="center" vertical="center" wrapText="1"/>
    </xf>
    <xf numFmtId="0" fontId="0" fillId="0" borderId="41" xfId="0" applyBorder="1" applyAlignment="1">
      <alignment horizontal="center" vertical="center" wrapText="1"/>
    </xf>
    <xf numFmtId="255" fontId="122" fillId="11" borderId="179" xfId="0" applyNumberFormat="1" applyFont="1" applyFill="1" applyBorder="1" applyAlignment="1" applyProtection="1">
      <alignment horizontal="center" vertical="center" shrinkToFit="1"/>
      <protection locked="0"/>
    </xf>
    <xf numFmtId="0" fontId="122" fillId="11" borderId="23" xfId="0" applyFont="1" applyFill="1" applyBorder="1" applyAlignment="1">
      <alignment horizontal="left" shrinkToFit="1"/>
    </xf>
    <xf numFmtId="0" fontId="0" fillId="0" borderId="0" xfId="0" applyAlignment="1">
      <alignment shrinkToFit="1"/>
    </xf>
    <xf numFmtId="0" fontId="22" fillId="0" borderId="21" xfId="0" applyFont="1" applyBorder="1" applyAlignment="1">
      <alignment horizontal="center" vertical="center"/>
    </xf>
    <xf numFmtId="0" fontId="0" fillId="0" borderId="22" xfId="0" applyBorder="1" applyAlignment="1">
      <alignment horizontal="center" vertical="center"/>
    </xf>
    <xf numFmtId="0" fontId="23" fillId="2" borderId="166" xfId="0" applyFont="1" applyFill="1" applyBorder="1" applyAlignment="1">
      <alignment horizontal="center" vertical="center" wrapText="1"/>
    </xf>
    <xf numFmtId="0" fontId="0" fillId="0" borderId="8" xfId="0" applyBorder="1" applyAlignment="1">
      <alignment horizontal="center" vertical="center" wrapText="1"/>
    </xf>
    <xf numFmtId="0" fontId="23" fillId="2" borderId="33" xfId="0" applyFont="1" applyFill="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12" fillId="2" borderId="35" xfId="0" applyFont="1" applyFill="1" applyBorder="1" applyAlignment="1">
      <alignment horizontal="center" vertical="center"/>
    </xf>
    <xf numFmtId="0" fontId="11" fillId="0" borderId="25" xfId="0" applyFont="1" applyBorder="1" applyAlignment="1">
      <alignment horizontal="center" vertical="center"/>
    </xf>
    <xf numFmtId="0" fontId="11" fillId="0" borderId="166" xfId="0" applyFont="1" applyBorder="1" applyAlignment="1">
      <alignment horizontal="center" vertical="center"/>
    </xf>
    <xf numFmtId="0" fontId="23" fillId="2" borderId="23" xfId="0" applyFont="1" applyFill="1" applyBorder="1" applyAlignment="1">
      <alignment horizontal="center" vertical="center" shrinkToFit="1"/>
    </xf>
    <xf numFmtId="0" fontId="22" fillId="0" borderId="0" xfId="0" applyFont="1" applyAlignment="1">
      <alignment horizontal="center" vertical="center" shrinkToFit="1"/>
    </xf>
    <xf numFmtId="0" fontId="11" fillId="3" borderId="0" xfId="0" quotePrefix="1" applyFont="1" applyFill="1" applyAlignment="1">
      <alignment horizontal="center" vertical="center" shrinkToFit="1"/>
    </xf>
    <xf numFmtId="0" fontId="11" fillId="3" borderId="0" xfId="0" applyFont="1" applyFill="1" applyAlignment="1">
      <alignment horizontal="center" vertical="center" shrinkToFi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3" fillId="2" borderId="143" xfId="0" applyFont="1" applyFill="1" applyBorder="1" applyAlignment="1">
      <alignment horizontal="center" vertical="center" wrapText="1"/>
    </xf>
    <xf numFmtId="0" fontId="22" fillId="2" borderId="144" xfId="0" applyFont="1" applyFill="1" applyBorder="1" applyAlignment="1">
      <alignment horizontal="center" vertical="center"/>
    </xf>
    <xf numFmtId="0" fontId="22" fillId="0" borderId="170" xfId="0" applyFont="1" applyBorder="1" applyAlignment="1">
      <alignment horizontal="center" vertical="center"/>
    </xf>
    <xf numFmtId="0" fontId="20" fillId="3" borderId="0" xfId="2" applyFont="1" applyFill="1" applyBorder="1" applyAlignment="1" applyProtection="1">
      <alignment horizontal="center" vertical="center" shrinkToFit="1"/>
    </xf>
    <xf numFmtId="0" fontId="20" fillId="0" borderId="0" xfId="2" applyFont="1" applyBorder="1" applyAlignment="1" applyProtection="1">
      <alignment horizontal="center" vertical="center" shrinkToFit="1"/>
    </xf>
    <xf numFmtId="0" fontId="29"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0" xfId="0" applyFont="1" applyFill="1" applyBorder="1" applyAlignment="1">
      <alignment horizontal="center" vertical="center" wrapText="1"/>
    </xf>
    <xf numFmtId="308" fontId="93" fillId="0" borderId="62" xfId="0" applyNumberFormat="1" applyFont="1" applyBorder="1" applyAlignment="1">
      <alignment horizontal="center" vertical="center" shrinkToFit="1"/>
    </xf>
    <xf numFmtId="0" fontId="133" fillId="3" borderId="79" xfId="0" quotePrefix="1" applyFont="1" applyFill="1" applyBorder="1" applyAlignment="1">
      <alignment horizontal="right" vertical="justify"/>
    </xf>
    <xf numFmtId="264" fontId="122" fillId="9" borderId="81" xfId="0" applyNumberFormat="1" applyFont="1" applyFill="1" applyBorder="1" applyAlignment="1">
      <alignment horizontal="left" vertical="justify"/>
    </xf>
    <xf numFmtId="308" fontId="93" fillId="0" borderId="137"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20" xfId="0" applyBorder="1" applyAlignment="1">
      <alignment horizontal="center" vertical="center" wrapText="1" shrinkToFit="1"/>
    </xf>
  </cellXfs>
  <cellStyles count="4">
    <cellStyle name="Estilo 1" xfId="1" xr:uid="{00000000-0005-0000-0000-000000000000}"/>
    <cellStyle name="Hipervínculo" xfId="2" builtinId="8"/>
    <cellStyle name="Millares" xfId="3" builtinId="3"/>
    <cellStyle name="Normal" xfId="0" builtinId="0"/>
  </cellStyles>
  <dxfs count="71">
    <dxf>
      <fill>
        <patternFill>
          <bgColor rgb="FF92D050"/>
        </patternFill>
      </fill>
    </dxf>
    <dxf>
      <fill>
        <patternFill>
          <fgColor rgb="FF92D050"/>
        </patternFill>
      </fill>
    </dxf>
    <dxf>
      <fill>
        <patternFill>
          <bgColor rgb="FF00B050"/>
        </patternFill>
      </fill>
    </dxf>
    <dxf>
      <font>
        <condense val="0"/>
        <extend val="0"/>
        <color indexed="22"/>
      </font>
      <fill>
        <patternFill>
          <bgColor indexed="22"/>
        </patternFill>
      </fill>
    </dxf>
    <dxf>
      <font>
        <condense val="0"/>
        <extend val="0"/>
        <color indexed="22"/>
      </font>
      <fill>
        <patternFill>
          <bgColor indexed="22"/>
        </patternFill>
      </fill>
    </dxf>
    <dxf>
      <font>
        <b/>
        <i val="0"/>
        <condense val="0"/>
        <extend val="0"/>
        <color indexed="13"/>
      </font>
      <fill>
        <patternFill>
          <bgColor indexed="2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2"/>
        </patternFill>
      </fill>
    </dxf>
    <dxf>
      <font>
        <condense val="0"/>
        <extend val="0"/>
        <color indexed="22"/>
      </font>
      <fill>
        <patternFill>
          <bgColor indexed="22"/>
        </patternFill>
      </fill>
    </dxf>
    <dxf>
      <font>
        <b/>
        <i val="0"/>
        <condense val="0"/>
        <extend val="0"/>
        <color indexed="10"/>
      </font>
      <fill>
        <patternFill>
          <bgColor indexed="22"/>
        </patternFill>
      </fill>
    </dxf>
    <dxf>
      <font>
        <b/>
        <i val="0"/>
        <condense val="0"/>
        <extend val="0"/>
        <color indexed="13"/>
      </font>
      <fill>
        <patternFill>
          <bgColor indexed="22"/>
        </patternFill>
      </fill>
    </dxf>
    <dxf>
      <font>
        <b/>
        <i val="0"/>
        <condense val="0"/>
        <extend val="0"/>
        <color indexed="12"/>
      </font>
      <fill>
        <patternFill>
          <bgColor indexed="9"/>
        </patternFill>
      </fill>
    </dxf>
    <dxf>
      <font>
        <b/>
        <i val="0"/>
        <condense val="0"/>
        <extend val="0"/>
        <color indexed="10"/>
      </font>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ont>
        <b/>
        <i val="0"/>
        <condense val="0"/>
        <extend val="0"/>
        <color indexed="13"/>
      </font>
      <fill>
        <patternFill>
          <bgColor indexed="23"/>
        </patternFill>
      </fill>
    </dxf>
    <dxf>
      <font>
        <b/>
        <i val="0"/>
        <condense val="0"/>
        <extend val="0"/>
        <color indexed="51"/>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22"/>
      </font>
      <fill>
        <patternFill>
          <bgColor indexed="22"/>
        </patternFill>
      </fill>
    </dxf>
    <dxf>
      <font>
        <b val="0"/>
        <i val="0"/>
        <condense val="0"/>
        <extend val="0"/>
      </font>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ill>
        <patternFill>
          <bgColor indexed="47"/>
        </patternFill>
      </fill>
    </dxf>
    <dxf>
      <fill>
        <patternFill>
          <bgColor indexed="43"/>
        </patternFill>
      </fill>
    </dxf>
    <dxf>
      <fill>
        <patternFill>
          <bgColor indexed="42"/>
        </patternFill>
      </fill>
    </dxf>
    <dxf>
      <font>
        <condense val="0"/>
        <extend val="0"/>
        <color indexed="22"/>
      </font>
      <fill>
        <patternFill>
          <bgColor indexed="22"/>
        </patternFill>
      </fill>
    </dxf>
    <dxf>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b/>
        <i val="0"/>
        <condense val="0"/>
        <extend val="0"/>
        <color indexed="22"/>
      </font>
      <fill>
        <patternFill>
          <bgColor indexed="22"/>
        </patternFill>
      </fill>
    </dxf>
    <dxf>
      <font>
        <condense val="0"/>
        <extend val="0"/>
        <color rgb="FF9C0006"/>
      </font>
      <fill>
        <patternFill>
          <bgColor rgb="FFFFC7CE"/>
        </patternFill>
      </fill>
    </dxf>
    <dxf>
      <fill>
        <patternFill>
          <bgColor theme="0" tint="-0.34998626667073579"/>
        </patternFill>
      </fill>
    </dxf>
    <dxf>
      <fill>
        <patternFill>
          <bgColor theme="0"/>
        </patternFill>
      </fill>
    </dxf>
    <dxf>
      <font>
        <condense val="0"/>
        <extend val="0"/>
        <color indexed="22"/>
      </font>
      <fill>
        <patternFill>
          <bgColor indexed="22"/>
        </patternFill>
      </fill>
    </dxf>
    <dxf>
      <font>
        <condense val="0"/>
        <extend val="0"/>
        <color indexed="22"/>
      </font>
      <fill>
        <patternFill>
          <bgColor indexed="22"/>
        </patternFill>
      </fill>
    </dxf>
    <dxf>
      <font>
        <b/>
        <i val="0"/>
        <condense val="0"/>
        <extend val="0"/>
        <color indexed="22"/>
      </font>
      <fill>
        <patternFill>
          <bgColor indexed="23"/>
        </patternFill>
      </fill>
    </dxf>
    <dxf>
      <fill>
        <patternFill>
          <bgColor rgb="FFD6EDBD"/>
        </patternFill>
      </fill>
    </dxf>
    <dxf>
      <fill>
        <patternFill>
          <bgColor rgb="FFFFFFCC"/>
        </patternFill>
      </fill>
    </dxf>
    <dxf>
      <fill>
        <patternFill>
          <bgColor rgb="FFFFCF89"/>
        </patternFill>
      </fill>
    </dxf>
    <dxf>
      <font>
        <condense val="0"/>
        <extend val="0"/>
        <color indexed="22"/>
      </font>
      <fill>
        <patternFill>
          <bgColor indexed="22"/>
        </patternFill>
      </fill>
    </dxf>
    <dxf>
      <font>
        <condense val="0"/>
        <extend val="0"/>
        <color indexed="22"/>
      </font>
      <fill>
        <patternFill>
          <bgColor indexed="22"/>
        </patternFill>
      </fill>
    </dxf>
    <dxf>
      <fill>
        <patternFill>
          <bgColor indexed="22"/>
        </patternFill>
      </fill>
    </dxf>
    <dxf>
      <fill>
        <patternFill>
          <bgColor indexed="22"/>
        </patternFill>
      </fill>
    </dxf>
    <dxf>
      <font>
        <b/>
        <i val="0"/>
        <condense val="0"/>
        <extend val="0"/>
        <color indexed="10"/>
      </font>
      <fill>
        <patternFill>
          <bgColor indexed="22"/>
        </patternFill>
      </fill>
    </dxf>
    <dxf>
      <font>
        <b/>
        <i val="0"/>
        <condense val="0"/>
        <extend val="0"/>
        <color indexed="10"/>
      </font>
      <fill>
        <patternFill>
          <bgColor indexed="22"/>
        </patternFill>
      </fill>
    </dxf>
    <dxf>
      <font>
        <condense val="0"/>
        <extend val="0"/>
        <color indexed="22"/>
      </font>
      <fill>
        <patternFill>
          <bgColor indexed="22"/>
        </patternFill>
      </fill>
    </dxf>
    <dxf>
      <font>
        <b/>
        <i val="0"/>
        <condense val="0"/>
        <extend val="0"/>
        <color indexed="8"/>
      </font>
      <fill>
        <patternFill>
          <bgColor indexed="9"/>
        </patternFill>
      </fill>
    </dxf>
    <dxf>
      <font>
        <condense val="0"/>
        <extend val="0"/>
        <color auto="1"/>
      </font>
      <fill>
        <patternFill>
          <bgColor indexed="22"/>
        </patternFill>
      </fill>
    </dxf>
    <dxf>
      <font>
        <condense val="0"/>
        <extend val="0"/>
        <color indexed="22"/>
      </font>
      <fill>
        <patternFill>
          <bgColor indexed="22"/>
        </patternFill>
      </fill>
    </dxf>
    <dxf>
      <font>
        <b/>
        <i val="0"/>
        <condense val="0"/>
        <extend val="0"/>
        <color indexed="10"/>
      </font>
      <fill>
        <patternFill>
          <bgColor indexed="22"/>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bgColor indexed="22"/>
        </patternFill>
      </fill>
    </dxf>
    <dxf>
      <fill>
        <patternFill>
          <bgColor indexed="22"/>
        </patternFill>
      </fill>
    </dxf>
    <dxf>
      <font>
        <b/>
        <i val="0"/>
        <condense val="0"/>
        <extend val="0"/>
        <color indexed="10"/>
      </font>
      <fill>
        <patternFill>
          <bgColor indexed="22"/>
        </patternFill>
      </fill>
    </dxf>
  </dxfs>
  <tableStyles count="0" defaultTableStyle="TableStyleMedium9" defaultPivotStyle="PivotStyleLight16"/>
  <colors>
    <mruColors>
      <color rgb="FFFF6600"/>
      <color rgb="FFFF9933"/>
      <color rgb="FF0E00C0"/>
      <color rgb="FF0017C0"/>
      <color rgb="FF0000C4"/>
      <color rgb="FF0441BC"/>
      <color rgb="FFD16309"/>
      <color rgb="FFE46D0A"/>
      <color rgb="FFE86E0A"/>
      <color rgb="FFF07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20</xdr:col>
      <xdr:colOff>99588</xdr:colOff>
      <xdr:row>89</xdr:row>
      <xdr:rowOff>27160</xdr:rowOff>
    </xdr:from>
    <xdr:to>
      <xdr:col>23</xdr:col>
      <xdr:colOff>405958</xdr:colOff>
      <xdr:row>91</xdr:row>
      <xdr:rowOff>135331</xdr:rowOff>
    </xdr:to>
    <xdr:pic>
      <xdr:nvPicPr>
        <xdr:cNvPr id="23140" name="Picture 4096" descr="J:\WEB's - AstroPráctica - NeuroClassics - NeuroConsult\AstroPráctica\imag_web\logo_temas.jpg">
          <a:extLst>
            <a:ext uri="{FF2B5EF4-FFF2-40B4-BE49-F238E27FC236}">
              <a16:creationId xmlns:a16="http://schemas.microsoft.com/office/drawing/2014/main" id="{00000000-0008-0000-0000-0000645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49354" y="19600752"/>
          <a:ext cx="1982709" cy="443620"/>
        </a:xfrm>
        <a:prstGeom prst="rect">
          <a:avLst/>
        </a:prstGeom>
        <a:noFill/>
        <a:ln w="9525">
          <a:noFill/>
          <a:miter lim="800000"/>
          <a:headEnd/>
          <a:tailEnd/>
        </a:ln>
      </xdr:spPr>
    </xdr:pic>
    <xdr:clientData/>
  </xdr:twoCellAnchor>
  <xdr:twoCellAnchor editAs="oneCell">
    <xdr:from>
      <xdr:col>14</xdr:col>
      <xdr:colOff>253497</xdr:colOff>
      <xdr:row>44</xdr:row>
      <xdr:rowOff>90535</xdr:rowOff>
    </xdr:from>
    <xdr:to>
      <xdr:col>14</xdr:col>
      <xdr:colOff>442186</xdr:colOff>
      <xdr:row>44</xdr:row>
      <xdr:rowOff>172016</xdr:rowOff>
    </xdr:to>
    <xdr:pic>
      <xdr:nvPicPr>
        <xdr:cNvPr id="23141" name="Picture 4100" descr="J:\WEB's - AstroPráctica - NeuroClassics - NeuroConsult\AstroPráctica\COMPLEMENTOS\diagonal.jpg">
          <a:extLst>
            <a:ext uri="{FF2B5EF4-FFF2-40B4-BE49-F238E27FC236}">
              <a16:creationId xmlns:a16="http://schemas.microsoft.com/office/drawing/2014/main" id="{00000000-0008-0000-0000-0000655A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0642" y="10275683"/>
          <a:ext cx="181069" cy="81481"/>
        </a:xfrm>
        <a:prstGeom prst="rect">
          <a:avLst/>
        </a:prstGeom>
        <a:noFill/>
        <a:ln w="9525">
          <a:noFill/>
          <a:miter lim="800000"/>
          <a:headEnd/>
          <a:tailEnd/>
        </a:ln>
      </xdr:spPr>
    </xdr:pic>
    <xdr:clientData/>
  </xdr:twoCellAnchor>
  <xdr:twoCellAnchor editAs="oneCell">
    <xdr:from>
      <xdr:col>2</xdr:col>
      <xdr:colOff>56473</xdr:colOff>
      <xdr:row>82</xdr:row>
      <xdr:rowOff>28807</xdr:rowOff>
    </xdr:from>
    <xdr:to>
      <xdr:col>14</xdr:col>
      <xdr:colOff>396024</xdr:colOff>
      <xdr:row>93</xdr:row>
      <xdr:rowOff>26370</xdr:rowOff>
    </xdr:to>
    <xdr:pic>
      <xdr:nvPicPr>
        <xdr:cNvPr id="23142" name="5 Imagen" descr="ocup.jpg">
          <a:extLst>
            <a:ext uri="{FF2B5EF4-FFF2-40B4-BE49-F238E27FC236}">
              <a16:creationId xmlns:a16="http://schemas.microsoft.com/office/drawing/2014/main" id="{00000000-0008-0000-0000-0000665A0000}"/>
            </a:ext>
          </a:extLst>
        </xdr:cNvPr>
        <xdr:cNvPicPr>
          <a:picLocks noChangeAspect="1"/>
        </xdr:cNvPicPr>
      </xdr:nvPicPr>
      <xdr:blipFill>
        <a:blip xmlns:r="http://schemas.openxmlformats.org/officeDocument/2006/relationships" r:embed="rId3" cstate="print"/>
        <a:srcRect/>
        <a:stretch>
          <a:fillRect/>
        </a:stretch>
      </xdr:blipFill>
      <xdr:spPr bwMode="auto">
        <a:xfrm>
          <a:off x="131016" y="17488546"/>
          <a:ext cx="4949440" cy="2384866"/>
        </a:xfrm>
        <a:prstGeom prst="rect">
          <a:avLst/>
        </a:prstGeom>
        <a:noFill/>
        <a:ln w="9525">
          <a:noFill/>
          <a:miter lim="800000"/>
          <a:headEnd/>
          <a:tailEnd/>
        </a:ln>
      </xdr:spPr>
    </xdr:pic>
    <xdr:clientData/>
  </xdr:twoCellAnchor>
  <xdr:twoCellAnchor editAs="oneCell">
    <xdr:from>
      <xdr:col>23</xdr:col>
      <xdr:colOff>157452</xdr:colOff>
      <xdr:row>44</xdr:row>
      <xdr:rowOff>110216</xdr:rowOff>
    </xdr:from>
    <xdr:to>
      <xdr:col>23</xdr:col>
      <xdr:colOff>330901</xdr:colOff>
      <xdr:row>44</xdr:row>
      <xdr:rowOff>191697</xdr:rowOff>
    </xdr:to>
    <xdr:pic>
      <xdr:nvPicPr>
        <xdr:cNvPr id="5" name="Picture 4100" descr="J:\WEB's - AstroPráctica - NeuroClassics - NeuroConsult\AstroPráctica\COMPLEMENTOS\diagonal.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07732" y="10313078"/>
          <a:ext cx="181069" cy="814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45267</xdr:colOff>
      <xdr:row>3</xdr:row>
      <xdr:rowOff>162966</xdr:rowOff>
    </xdr:from>
    <xdr:to>
      <xdr:col>14</xdr:col>
      <xdr:colOff>58130</xdr:colOff>
      <xdr:row>8</xdr:row>
      <xdr:rowOff>150621</xdr:rowOff>
    </xdr:to>
    <xdr:pic>
      <xdr:nvPicPr>
        <xdr:cNvPr id="23579" name="Picture 8" descr="EIA1956_resampled">
          <a:extLst>
            <a:ext uri="{FF2B5EF4-FFF2-40B4-BE49-F238E27FC236}">
              <a16:creationId xmlns:a16="http://schemas.microsoft.com/office/drawing/2014/main" id="{00000000-0008-0000-0100-00001B5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51002" y="860083"/>
          <a:ext cx="1683945" cy="1294646"/>
        </a:xfrm>
        <a:prstGeom prst="rect">
          <a:avLst/>
        </a:prstGeom>
        <a:noFill/>
        <a:ln w="28575">
          <a:solidFill>
            <a:srgbClr val="000000"/>
          </a:solidFill>
          <a:miter lim="800000"/>
          <a:headEnd/>
          <a:tailEnd/>
        </a:ln>
      </xdr:spPr>
    </xdr:pic>
    <xdr:clientData/>
  </xdr:twoCellAnchor>
  <xdr:twoCellAnchor editAs="oneCell">
    <xdr:from>
      <xdr:col>12</xdr:col>
      <xdr:colOff>9054</xdr:colOff>
      <xdr:row>10</xdr:row>
      <xdr:rowOff>9055</xdr:rowOff>
    </xdr:from>
    <xdr:to>
      <xdr:col>14</xdr:col>
      <xdr:colOff>72427</xdr:colOff>
      <xdr:row>18</xdr:row>
      <xdr:rowOff>283726</xdr:rowOff>
    </xdr:to>
    <xdr:pic>
      <xdr:nvPicPr>
        <xdr:cNvPr id="23580" name="3 Imagen" descr="Monitor7''-DSLR.jpg">
          <a:extLst>
            <a:ext uri="{FF2B5EF4-FFF2-40B4-BE49-F238E27FC236}">
              <a16:creationId xmlns:a16="http://schemas.microsoft.com/office/drawing/2014/main" id="{00000000-0008-0000-0100-00001C5C0000}"/>
            </a:ext>
          </a:extLst>
        </xdr:cNvPr>
        <xdr:cNvPicPr>
          <a:picLocks noChangeAspect="1"/>
        </xdr:cNvPicPr>
      </xdr:nvPicPr>
      <xdr:blipFill>
        <a:blip xmlns:r="http://schemas.openxmlformats.org/officeDocument/2006/relationships" r:embed="rId2" cstate="print"/>
        <a:srcRect/>
        <a:stretch>
          <a:fillRect/>
        </a:stretch>
      </xdr:blipFill>
      <xdr:spPr bwMode="auto">
        <a:xfrm>
          <a:off x="7414789" y="2390116"/>
          <a:ext cx="1738265" cy="26073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90535</xdr:colOff>
      <xdr:row>6</xdr:row>
      <xdr:rowOff>27160</xdr:rowOff>
    </xdr:from>
    <xdr:to>
      <xdr:col>6</xdr:col>
      <xdr:colOff>289711</xdr:colOff>
      <xdr:row>6</xdr:row>
      <xdr:rowOff>172016</xdr:rowOff>
    </xdr:to>
    <xdr:pic>
      <xdr:nvPicPr>
        <xdr:cNvPr id="18382" name="Picture 3" descr="diagonal">
          <a:extLst>
            <a:ext uri="{FF2B5EF4-FFF2-40B4-BE49-F238E27FC236}">
              <a16:creationId xmlns:a16="http://schemas.microsoft.com/office/drawing/2014/main" id="{00000000-0008-0000-0200-0000CE47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929204" y="1539089"/>
          <a:ext cx="199176" cy="1448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tropractica.org/tem3/seeing/seeing.htm" TargetMode="External"/><Relationship Id="rId13" Type="http://schemas.openxmlformats.org/officeDocument/2006/relationships/drawing" Target="../drawings/drawing1.xml"/><Relationship Id="rId3" Type="http://schemas.openxmlformats.org/officeDocument/2006/relationships/hyperlink" Target="http://www.astrosurf.com/afernandez/equipment/ccd/snr_v100_web.htm" TargetMode="External"/><Relationship Id="rId7" Type="http://schemas.openxmlformats.org/officeDocument/2006/relationships/hyperlink" Target="http://www.astropractica.org/tem2/filt/filt.htm" TargetMode="External"/><Relationship Id="rId12" Type="http://schemas.openxmlformats.org/officeDocument/2006/relationships/printerSettings" Target="../printerSettings/printerSettings1.bin"/><Relationship Id="rId2" Type="http://schemas.openxmlformats.org/officeDocument/2006/relationships/hyperlink" Target="http://www.astropractica.org/oper/e330/e330.htm" TargetMode="External"/><Relationship Id="rId1" Type="http://schemas.openxmlformats.org/officeDocument/2006/relationships/hyperlink" Target="http://www.astropractica.org/tab/seeing.htm" TargetMode="External"/><Relationship Id="rId6" Type="http://schemas.openxmlformats.org/officeDocument/2006/relationships/hyperlink" Target="http://www.astropractica.org/" TargetMode="External"/><Relationship Id="rId11" Type="http://schemas.openxmlformats.org/officeDocument/2006/relationships/hyperlink" Target="mailto:jmp.astropractica@gmail.com" TargetMode="External"/><Relationship Id="rId5" Type="http://schemas.openxmlformats.org/officeDocument/2006/relationships/hyperlink" Target="http://afines.com/cambio_horario_verano_invierno/" TargetMode="External"/><Relationship Id="rId10" Type="http://schemas.openxmlformats.org/officeDocument/2006/relationships/hyperlink" Target="https://www.google.com/search?q=im%C3%A1genes+orientativas+de+bortle&amp;rlz=1C1UEAD_esES1044ES1045&amp;oq=im%C3%A1genes+orientativas+de+bortle&amp;aqs=chrome..69i57j33i160.12785j0j4&amp;sourceid=chrome&amp;ie=UTF-8" TargetMode="External"/><Relationship Id="rId4" Type="http://schemas.openxmlformats.org/officeDocument/2006/relationships/hyperlink" Target="http://www.xatakafoto.com/curso-de-fotografia/curso-de-fotografia-18-iso-la-sensibilidad" TargetMode="External"/><Relationship Id="rId9" Type="http://schemas.openxmlformats.org/officeDocument/2006/relationships/hyperlink" Target="https://www.astropractica.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pvol.ehu.es/pvol/tools.jsp?action=jdcm" TargetMode="External"/><Relationship Id="rId3" Type="http://schemas.openxmlformats.org/officeDocument/2006/relationships/hyperlink" Target="http://www.astropractica.org/oper/k3/EIA1956.jpg" TargetMode="External"/><Relationship Id="rId7" Type="http://schemas.openxmlformats.org/officeDocument/2006/relationships/hyperlink" Target="http://www.pvol.ehu.es/pvol/tools.jsp?action=jdcm" TargetMode="External"/><Relationship Id="rId2" Type="http://schemas.openxmlformats.org/officeDocument/2006/relationships/hyperlink" Target="http://www.astropractica.org/tem3/messier/Messier.htm" TargetMode="External"/><Relationship Id="rId1" Type="http://schemas.openxmlformats.org/officeDocument/2006/relationships/hyperlink" Target="https://www.ap-i.net/avl/fr/start" TargetMode="External"/><Relationship Id="rId6" Type="http://schemas.openxmlformats.org/officeDocument/2006/relationships/hyperlink" Target="http://www.astropractica.org/tem3/messier/messier.htm" TargetMode="External"/><Relationship Id="rId11" Type="http://schemas.openxmlformats.org/officeDocument/2006/relationships/drawing" Target="../drawings/drawing2.xml"/><Relationship Id="rId5" Type="http://schemas.openxmlformats.org/officeDocument/2006/relationships/hyperlink" Target="http://www.pvol.ehu.es/pvol/tools.jsp?action=jdcm" TargetMode="External"/><Relationship Id="rId10" Type="http://schemas.openxmlformats.org/officeDocument/2006/relationships/printerSettings" Target="../printerSettings/printerSettings2.bin"/><Relationship Id="rId4" Type="http://schemas.openxmlformats.org/officeDocument/2006/relationships/hyperlink" Target="http://www.pvol.ehu.es/pvol/tools.jsp?action=jdcm" TargetMode="External"/><Relationship Id="rId9" Type="http://schemas.openxmlformats.org/officeDocument/2006/relationships/hyperlink" Target="https://www.astropractica.org/tem1/colim/colimar-telescopios.ht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tarlight-xpress.co.uk/SXV-H9.htm" TargetMode="External"/><Relationship Id="rId18" Type="http://schemas.openxmlformats.org/officeDocument/2006/relationships/hyperlink" Target="http://es.redcoon.com/redcoon/urwfilter/product/do/action/getProductDetail/product/24398/index.html;jsessionid=90304c84dcdb$3F$CA$2" TargetMode="External"/><Relationship Id="rId26" Type="http://schemas.openxmlformats.org/officeDocument/2006/relationships/hyperlink" Target="http://www.artemisccd.co.uk/" TargetMode="External"/><Relationship Id="rId39" Type="http://schemas.openxmlformats.org/officeDocument/2006/relationships/hyperlink" Target="http://www.starlight-xpress.co.uk/SXV-M25.htm" TargetMode="External"/><Relationship Id="rId21" Type="http://schemas.openxmlformats.org/officeDocument/2006/relationships/hyperlink" Target="http://www.starlight-xpress.co.uk/SXV-M25.htm" TargetMode="External"/><Relationship Id="rId34" Type="http://schemas.openxmlformats.org/officeDocument/2006/relationships/hyperlink" Target="http://tienda.lunatico.es/epages/Store.sf/?ObjectPath=/Shops/Store.Lunatico/Products/CAM901" TargetMode="External"/><Relationship Id="rId42" Type="http://schemas.openxmlformats.org/officeDocument/2006/relationships/hyperlink" Target="http://www.theimagingsource.com/es_ES/products/cameras/usb-ccd-mono/dmk21au618/" TargetMode="External"/><Relationship Id="rId47" Type="http://schemas.openxmlformats.org/officeDocument/2006/relationships/hyperlink" Target="http://www.optcorp.com/product.aspx?pid=8208" TargetMode="External"/><Relationship Id="rId50" Type="http://schemas.openxmlformats.org/officeDocument/2006/relationships/hyperlink" Target="http://tienda.lunatico.es/Luna-QHY-5L-II-Mono-camara-con-accesorios" TargetMode="External"/><Relationship Id="rId55" Type="http://schemas.openxmlformats.org/officeDocument/2006/relationships/hyperlink" Target="http://www.qhyccd.com/QHY5P-II.html" TargetMode="External"/><Relationship Id="rId63" Type="http://schemas.openxmlformats.org/officeDocument/2006/relationships/printerSettings" Target="../printerSettings/printerSettings3.bin"/><Relationship Id="rId7" Type="http://schemas.openxmlformats.org/officeDocument/2006/relationships/hyperlink" Target="http://astro.ft.uam.es/TJM/tjm/webpaginas/practicas/manuales/ST8/ST8.html" TargetMode="External"/><Relationship Id="rId2" Type="http://schemas.openxmlformats.org/officeDocument/2006/relationships/hyperlink" Target="http://www.quesabesde.com/camdig/productos/cam199g.asp" TargetMode="External"/><Relationship Id="rId16" Type="http://schemas.openxmlformats.org/officeDocument/2006/relationships/hyperlink" Target="http://www.theimagingsource.com/es_ES/" TargetMode="External"/><Relationship Id="rId20" Type="http://schemas.openxmlformats.org/officeDocument/2006/relationships/hyperlink" Target="http://www.artemisccd.co.uk/icx285c.htm" TargetMode="External"/><Relationship Id="rId29" Type="http://schemas.openxmlformats.org/officeDocument/2006/relationships/hyperlink" Target="http://www.telescope.com/control/product/~category_id=fall2008new/~product_id=52084" TargetMode="External"/><Relationship Id="rId41" Type="http://schemas.openxmlformats.org/officeDocument/2006/relationships/hyperlink" Target="http://www.starlight-xpress.co.uk/Handbooks/SXVR-H18%20handbook.pdf" TargetMode="External"/><Relationship Id="rId54" Type="http://schemas.openxmlformats.org/officeDocument/2006/relationships/hyperlink" Target="http://astronomy-imaging-camera.com/products/usb-3-0/asi224mc/" TargetMode="External"/><Relationship Id="rId62" Type="http://schemas.openxmlformats.org/officeDocument/2006/relationships/hyperlink" Target="https://www.astrocity.es/camaras-zwo-asi/1829-camara-asi-462-mc-color-zwo.html" TargetMode="External"/><Relationship Id="rId1" Type="http://schemas.openxmlformats.org/officeDocument/2006/relationships/hyperlink" Target="http://www.megapixel.net/cgi-bin/fs_loader.pl?p=http%3A//www.megapixel.net/reviews/ricoh-rdc4200/rdc4200-review.html" TargetMode="External"/><Relationship Id="rId6" Type="http://schemas.openxmlformats.org/officeDocument/2006/relationships/hyperlink" Target="http://www.logitech.com/index.cfm/products/details/US/EN,CRID=4,CONTENTID=5042" TargetMode="External"/><Relationship Id="rId11" Type="http://schemas.openxmlformats.org/officeDocument/2006/relationships/hyperlink" Target="http://www.ccd.com/ap32ME.PDF" TargetMode="External"/><Relationship Id="rId24" Type="http://schemas.openxmlformats.org/officeDocument/2006/relationships/hyperlink" Target="http://www.x-astro.com/Productos/BaseProductos.htm" TargetMode="External"/><Relationship Id="rId32" Type="http://schemas.openxmlformats.org/officeDocument/2006/relationships/hyperlink" Target="http://www.pixmania.com/es/es/1631698/art/canon/eos-5d-mark-ii.html" TargetMode="External"/><Relationship Id="rId37" Type="http://schemas.openxmlformats.org/officeDocument/2006/relationships/hyperlink" Target="http://tienda.lunatico.es/WebRoot/Store/Shops/Store_002E_Lunatico/MediaGallery/manuales/QHY12.pdf" TargetMode="External"/><Relationship Id="rId40" Type="http://schemas.openxmlformats.org/officeDocument/2006/relationships/hyperlink" Target="http://www.theimagingsource.com/es_ES/" TargetMode="External"/><Relationship Id="rId45" Type="http://schemas.openxmlformats.org/officeDocument/2006/relationships/hyperlink" Target="http://www.theimagingsource.com/en_US/products/cameras/usb-ccd-mono/dmk31au03/" TargetMode="External"/><Relationship Id="rId53" Type="http://schemas.openxmlformats.org/officeDocument/2006/relationships/hyperlink" Target="http://www.canon.es/for_home/product_finder/cameras/digital_slr/eos_1200d/" TargetMode="External"/><Relationship Id="rId58" Type="http://schemas.openxmlformats.org/officeDocument/2006/relationships/hyperlink" Target="https://www.astroshop.es/camaras-para-astronomia/zwo-camara-asi-183-mm-pro-mono/p,56539" TargetMode="External"/><Relationship Id="rId5" Type="http://schemas.openxmlformats.org/officeDocument/2006/relationships/hyperlink" Target="http://www.quesabesde.com/camdig/productos/cam624e.asp" TargetMode="External"/><Relationship Id="rId15" Type="http://schemas.openxmlformats.org/officeDocument/2006/relationships/hyperlink" Target="http://www.quesabesde.com/camdig/productos/cam751g.asp" TargetMode="External"/><Relationship Id="rId23" Type="http://schemas.openxmlformats.org/officeDocument/2006/relationships/hyperlink" Target="http://www.olympus.es/consumer/dslr_E-330.htm" TargetMode="External"/><Relationship Id="rId28" Type="http://schemas.openxmlformats.org/officeDocument/2006/relationships/hyperlink" Target="http://www.sbig.com/sbwhtmls/ST7ME.htm" TargetMode="External"/><Relationship Id="rId36" Type="http://schemas.openxmlformats.org/officeDocument/2006/relationships/hyperlink" Target="http://www.atik-usa.com/atik383l.html" TargetMode="External"/><Relationship Id="rId49" Type="http://schemas.openxmlformats.org/officeDocument/2006/relationships/hyperlink" Target="http://s1.archive.theimagingsource.com/publications/sensors-ccd/icx205al/0eeddde64522190fb3cd90" TargetMode="External"/><Relationship Id="rId57" Type="http://schemas.openxmlformats.org/officeDocument/2006/relationships/hyperlink" Target="https://www.highpointscientific.com/zwo-asi174mm-usb-3-monochrome-cmos-camera" TargetMode="External"/><Relationship Id="rId61" Type="http://schemas.openxmlformats.org/officeDocument/2006/relationships/hyperlink" Target="https://telescopiosbarcelona.com/zwo-asi/2189-camara-zwo-asi-178mc-color-usb30" TargetMode="External"/><Relationship Id="rId10" Type="http://schemas.openxmlformats.org/officeDocument/2006/relationships/hyperlink" Target="http://www.digit-life.com/articles/lumixdmclc5/" TargetMode="External"/><Relationship Id="rId19" Type="http://schemas.openxmlformats.org/officeDocument/2006/relationships/hyperlink" Target="http://www.dzoom.org.es/sp-10678-Canon-EOS-350D-(Digital-Rebel-XT).html" TargetMode="External"/><Relationship Id="rId31" Type="http://schemas.openxmlformats.org/officeDocument/2006/relationships/hyperlink" Target="http://www.kodak.com/global/en/business/ISS/Products/Fullframe/" TargetMode="External"/><Relationship Id="rId44" Type="http://schemas.openxmlformats.org/officeDocument/2006/relationships/hyperlink" Target="http://www.unibrain.com/download/pdfs/Fire-i_Board_Cams/ICX098BQ.pdf" TargetMode="External"/><Relationship Id="rId52" Type="http://schemas.openxmlformats.org/officeDocument/2006/relationships/hyperlink" Target="http://archive.sbig.com/sbwhtmls/ST8XME.htm" TargetMode="External"/><Relationship Id="rId60" Type="http://schemas.openxmlformats.org/officeDocument/2006/relationships/hyperlink" Target="https://astronomy-imaging-camera.com/product/asi294mm-pro" TargetMode="External"/><Relationship Id="rId4" Type="http://schemas.openxmlformats.org/officeDocument/2006/relationships/hyperlink" Target="http://www.leadbeaterhome.fsnet.co.uk/1004xcam1.htm" TargetMode="External"/><Relationship Id="rId9" Type="http://schemas.openxmlformats.org/officeDocument/2006/relationships/hyperlink" Target="http://www.starlight-xpress.co.uk/SXV-M8C.htm" TargetMode="External"/><Relationship Id="rId14" Type="http://schemas.openxmlformats.org/officeDocument/2006/relationships/hyperlink" Target="http://www.artemisccd.co.uk/icx285c.htm" TargetMode="External"/><Relationship Id="rId22" Type="http://schemas.openxmlformats.org/officeDocument/2006/relationships/hyperlink" Target="http://www.atik-instruments.com/" TargetMode="External"/><Relationship Id="rId27" Type="http://schemas.openxmlformats.org/officeDocument/2006/relationships/hyperlink" Target="http://qhyccd.com/" TargetMode="External"/><Relationship Id="rId30" Type="http://schemas.openxmlformats.org/officeDocument/2006/relationships/hyperlink" Target="http://www.lumenera.com/products/astro-cameras/skynyx-2_0.php" TargetMode="External"/><Relationship Id="rId35" Type="http://schemas.openxmlformats.org/officeDocument/2006/relationships/hyperlink" Target="http://www.yubagold.com/tests/KAF8300.pdf" TargetMode="External"/><Relationship Id="rId43" Type="http://schemas.openxmlformats.org/officeDocument/2006/relationships/hyperlink" Target="http://www.theimagingsource.com/downloads/icx618ala.en_US.pdf" TargetMode="External"/><Relationship Id="rId48" Type="http://schemas.openxmlformats.org/officeDocument/2006/relationships/hyperlink" Target="http://www.theimagingsource.com/es_ES/products/cameras/usb-ccd-mono/dmk41au02/" TargetMode="External"/><Relationship Id="rId56" Type="http://schemas.openxmlformats.org/officeDocument/2006/relationships/hyperlink" Target="https://www.astroshop.es/camaras-para-astronomia/zwo-camara-asi-120-mm-s-mono/p,45257" TargetMode="External"/><Relationship Id="rId64" Type="http://schemas.openxmlformats.org/officeDocument/2006/relationships/drawing" Target="../drawings/drawing3.xml"/><Relationship Id="rId8" Type="http://schemas.openxmlformats.org/officeDocument/2006/relationships/hyperlink" Target="http://www.segundamano.es/fichaI.cfm?id=2349434&amp;categoria_id=12&amp;subcategoria_id=24&amp;seccion_id=2430" TargetMode="External"/><Relationship Id="rId51" Type="http://schemas.openxmlformats.org/officeDocument/2006/relationships/hyperlink" Target="http://www.controlelectronic.com/WAT-100N.htm" TargetMode="External"/><Relationship Id="rId3" Type="http://schemas.openxmlformats.org/officeDocument/2006/relationships/hyperlink" Target="http://www.atik-instruments.com/" TargetMode="External"/><Relationship Id="rId12" Type="http://schemas.openxmlformats.org/officeDocument/2006/relationships/hyperlink" Target="http://www.ccd.com/AP4.PDF" TargetMode="External"/><Relationship Id="rId17" Type="http://schemas.openxmlformats.org/officeDocument/2006/relationships/hyperlink" Target="http://www.meade.com/autostar/lpi.html" TargetMode="External"/><Relationship Id="rId25" Type="http://schemas.openxmlformats.org/officeDocument/2006/relationships/hyperlink" Target="http://www.atik-instruments.com/" TargetMode="External"/><Relationship Id="rId33" Type="http://schemas.openxmlformats.org/officeDocument/2006/relationships/hyperlink" Target="http://tienda.lunatico.es/lunatico/manuales/luna-qhy5.pdf" TargetMode="External"/><Relationship Id="rId38" Type="http://schemas.openxmlformats.org/officeDocument/2006/relationships/hyperlink" Target="http://www.teleskop-service.se/en/atik/start/atikstart.html" TargetMode="External"/><Relationship Id="rId46" Type="http://schemas.openxmlformats.org/officeDocument/2006/relationships/hyperlink" Target="http://s1.archive.theimagingsource.com/publications/sensors-ccd/icx204al/bfda706b08166d3939c112d220215c40/icx204al.en_US.pdf" TargetMode="External"/><Relationship Id="rId59" Type="http://schemas.openxmlformats.org/officeDocument/2006/relationships/hyperlink" Target="https://es.wikipedia.org/wiki/Canon_EOS_450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Hoja1">
    <pageSetUpPr autoPageBreaks="0"/>
  </sheetPr>
  <dimension ref="B1:AZ101"/>
  <sheetViews>
    <sheetView showGridLines="0" showRowColHeaders="0" tabSelected="1" showRuler="0" showOutlineSymbols="0" topLeftCell="A40" zoomScale="130" zoomScaleNormal="130" zoomScaleSheetLayoutView="100" workbookViewId="0">
      <selection activeCell="Q10" sqref="Q10:R10"/>
    </sheetView>
  </sheetViews>
  <sheetFormatPr baseColWidth="10" defaultColWidth="11.5546875" defaultRowHeight="16.5" x14ac:dyDescent="0.2"/>
  <cols>
    <col min="1" max="1" width="1.109375" style="53" customWidth="1"/>
    <col min="2" max="2" width="0.88671875" style="55" customWidth="1"/>
    <col min="3" max="3" width="10.77734375" style="55" customWidth="1"/>
    <col min="4" max="4" width="5.33203125" style="55" customWidth="1"/>
    <col min="5" max="5" width="0.21875" style="55" customWidth="1"/>
    <col min="6" max="6" width="5.33203125" style="55" customWidth="1"/>
    <col min="7" max="7" width="5.44140625" style="55" customWidth="1"/>
    <col min="8" max="8" width="2.77734375" style="55" customWidth="1"/>
    <col min="9" max="9" width="3.44140625" style="55" customWidth="1"/>
    <col min="10" max="10" width="6.5546875" style="55" customWidth="1"/>
    <col min="11" max="11" width="4.33203125" style="55" customWidth="1"/>
    <col min="12" max="12" width="3" style="55" customWidth="1"/>
    <col min="13" max="13" width="3.33203125" style="55" customWidth="1"/>
    <col min="14" max="14" width="3" style="55" customWidth="1"/>
    <col min="15" max="15" width="6.5546875" style="55" customWidth="1"/>
    <col min="16" max="16" width="0.88671875" style="55" customWidth="1"/>
    <col min="17" max="17" width="11.33203125" style="53" customWidth="1"/>
    <col min="18" max="18" width="10.77734375" style="53" customWidth="1"/>
    <col min="19" max="20" width="5.77734375" style="53" customWidth="1"/>
    <col min="21" max="21" width="6.6640625" style="53" customWidth="1"/>
    <col min="22" max="22" width="7" style="53" customWidth="1"/>
    <col min="23" max="23" width="6.88671875" style="53" customWidth="1"/>
    <col min="24" max="24" width="7" style="53" customWidth="1"/>
    <col min="25" max="25" width="0.88671875" style="53" customWidth="1"/>
    <col min="26" max="26" width="10.77734375" style="53" customWidth="1"/>
    <col min="27" max="31" width="5.77734375" style="53" customWidth="1"/>
    <col min="32" max="44" width="4.77734375" style="53" customWidth="1"/>
    <col min="45" max="16384" width="11.5546875" style="53"/>
  </cols>
  <sheetData>
    <row r="1" spans="2:52" ht="18" customHeight="1" x14ac:dyDescent="0.2">
      <c r="B1" s="356"/>
      <c r="C1" s="1004" t="s">
        <v>276</v>
      </c>
      <c r="D1" s="1005"/>
      <c r="E1" s="1005"/>
      <c r="F1" s="1005"/>
      <c r="G1" s="1005"/>
      <c r="H1" s="1005"/>
      <c r="I1" s="1005"/>
      <c r="J1" s="1005"/>
      <c r="K1" s="1005"/>
      <c r="L1" s="1005"/>
      <c r="M1" s="1005"/>
      <c r="N1" s="1005"/>
      <c r="O1" s="1005"/>
      <c r="P1" s="1005"/>
      <c r="Q1" s="1005"/>
      <c r="R1" s="1005"/>
      <c r="S1" s="1005"/>
      <c r="T1" s="1005"/>
      <c r="U1" s="1005"/>
      <c r="V1" s="1005"/>
      <c r="W1" s="1005"/>
      <c r="X1" s="1005"/>
      <c r="Y1" s="357"/>
    </row>
    <row r="2" spans="2:52" ht="18" customHeight="1" x14ac:dyDescent="0.2">
      <c r="B2" s="700" t="s">
        <v>292</v>
      </c>
      <c r="C2" s="700"/>
      <c r="D2" s="700"/>
      <c r="E2" s="700"/>
      <c r="F2" s="700"/>
      <c r="G2" s="700"/>
      <c r="H2" s="700"/>
      <c r="I2" s="700"/>
      <c r="J2" s="700"/>
      <c r="K2" s="700"/>
      <c r="L2" s="700"/>
      <c r="M2" s="700"/>
      <c r="N2" s="700"/>
      <c r="O2" s="700"/>
      <c r="P2" s="700"/>
      <c r="Q2" s="700"/>
      <c r="R2" s="700"/>
      <c r="S2" s="700"/>
      <c r="T2" s="700"/>
      <c r="U2" s="700"/>
      <c r="V2" s="700"/>
      <c r="W2" s="700"/>
      <c r="X2" s="700"/>
      <c r="Y2" s="700"/>
      <c r="AC2"/>
      <c r="AD2"/>
      <c r="AE2"/>
      <c r="AF2"/>
      <c r="AG2"/>
      <c r="AH2"/>
      <c r="AI2"/>
      <c r="AJ2"/>
      <c r="AK2"/>
      <c r="AL2"/>
      <c r="AM2"/>
      <c r="AN2"/>
      <c r="AP2"/>
      <c r="AQ2"/>
      <c r="AR2"/>
      <c r="AS2"/>
      <c r="AT2"/>
      <c r="AU2"/>
      <c r="AV2"/>
      <c r="AW2"/>
      <c r="AX2"/>
      <c r="AY2"/>
      <c r="AZ2"/>
    </row>
    <row r="3" spans="2:52" ht="7.15" customHeight="1" thickBot="1" x14ac:dyDescent="0.25">
      <c r="B3" s="54"/>
      <c r="C3" s="54"/>
      <c r="D3" s="54"/>
      <c r="E3" s="54"/>
      <c r="F3" s="54"/>
      <c r="G3" s="54"/>
      <c r="H3" s="54"/>
      <c r="I3" s="54"/>
      <c r="J3" s="54"/>
      <c r="K3" s="54"/>
      <c r="L3" s="54"/>
      <c r="M3" s="54"/>
      <c r="N3" s="54"/>
      <c r="O3" s="54"/>
      <c r="P3" s="54"/>
      <c r="Q3" s="56"/>
      <c r="R3" s="56"/>
      <c r="S3" s="56"/>
      <c r="T3" s="56"/>
      <c r="U3" s="56"/>
      <c r="V3" s="56"/>
      <c r="W3" s="56"/>
      <c r="X3" s="56"/>
      <c r="Y3" s="56"/>
      <c r="AC3"/>
      <c r="AD3"/>
      <c r="AE3"/>
      <c r="AF3"/>
      <c r="AG3"/>
      <c r="AH3"/>
      <c r="AI3"/>
      <c r="AJ3"/>
      <c r="AK3"/>
      <c r="AL3"/>
      <c r="AM3"/>
      <c r="AN3"/>
      <c r="AO3"/>
      <c r="AP3"/>
      <c r="AQ3"/>
      <c r="AR3"/>
      <c r="AS3"/>
      <c r="AT3"/>
      <c r="AU3"/>
      <c r="AV3"/>
      <c r="AW3"/>
      <c r="AX3"/>
      <c r="AY3"/>
      <c r="AZ3"/>
    </row>
    <row r="4" spans="2:52" ht="15" customHeight="1" x14ac:dyDescent="0.2">
      <c r="B4" s="54"/>
      <c r="C4" s="576" t="s">
        <v>269</v>
      </c>
      <c r="D4" s="623"/>
      <c r="E4" s="623"/>
      <c r="F4" s="623"/>
      <c r="G4" s="623"/>
      <c r="H4" s="623"/>
      <c r="I4" s="623"/>
      <c r="J4" s="623"/>
      <c r="K4" s="623"/>
      <c r="L4" s="623"/>
      <c r="M4" s="623"/>
      <c r="N4" s="623"/>
      <c r="O4" s="624"/>
      <c r="P4" s="57"/>
      <c r="Q4" s="576" t="s">
        <v>229</v>
      </c>
      <c r="R4" s="577"/>
      <c r="S4" s="577"/>
      <c r="T4" s="577"/>
      <c r="U4" s="577"/>
      <c r="V4" s="577"/>
      <c r="W4" s="577"/>
      <c r="X4" s="578"/>
      <c r="Y4" s="54"/>
      <c r="AC4"/>
      <c r="AD4"/>
      <c r="AE4"/>
      <c r="AF4"/>
      <c r="AG4"/>
      <c r="AH4"/>
      <c r="AI4"/>
      <c r="AJ4"/>
      <c r="AK4"/>
      <c r="AL4"/>
      <c r="AM4"/>
      <c r="AN4"/>
      <c r="AO4"/>
      <c r="AP4"/>
      <c r="AQ4"/>
      <c r="AR4"/>
      <c r="AS4"/>
      <c r="AT4"/>
      <c r="AU4"/>
      <c r="AV4"/>
      <c r="AW4"/>
      <c r="AX4"/>
      <c r="AY4"/>
      <c r="AZ4"/>
    </row>
    <row r="5" spans="2:52" ht="20.100000000000001" customHeight="1" x14ac:dyDescent="0.2">
      <c r="B5" s="54"/>
      <c r="C5" s="579"/>
      <c r="D5" s="580"/>
      <c r="E5" s="580"/>
      <c r="F5" s="580"/>
      <c r="G5" s="580"/>
      <c r="H5" s="580"/>
      <c r="I5" s="580"/>
      <c r="J5" s="580"/>
      <c r="K5" s="580"/>
      <c r="L5" s="580"/>
      <c r="M5" s="580"/>
      <c r="N5" s="580"/>
      <c r="O5" s="581"/>
      <c r="P5" s="58"/>
      <c r="Q5" s="579"/>
      <c r="R5" s="580"/>
      <c r="S5" s="580"/>
      <c r="T5" s="580"/>
      <c r="U5" s="580"/>
      <c r="V5" s="580"/>
      <c r="W5" s="580"/>
      <c r="X5" s="581"/>
      <c r="Y5" s="54"/>
      <c r="AC5"/>
      <c r="AD5"/>
      <c r="AE5"/>
      <c r="AF5"/>
      <c r="AG5"/>
      <c r="AH5"/>
      <c r="AI5"/>
      <c r="AJ5"/>
      <c r="AK5"/>
      <c r="AL5"/>
      <c r="AM5"/>
      <c r="AN5"/>
      <c r="AO5"/>
      <c r="AP5"/>
      <c r="AQ5"/>
      <c r="AR5"/>
      <c r="AS5"/>
      <c r="AT5"/>
      <c r="AU5"/>
      <c r="AV5"/>
      <c r="AW5"/>
      <c r="AX5"/>
      <c r="AY5"/>
      <c r="AZ5"/>
    </row>
    <row r="6" spans="2:52" ht="15" customHeight="1" thickBot="1" x14ac:dyDescent="0.25">
      <c r="B6" s="54"/>
      <c r="C6" s="625"/>
      <c r="D6" s="626"/>
      <c r="E6" s="626"/>
      <c r="F6" s="626"/>
      <c r="G6" s="626"/>
      <c r="H6" s="626"/>
      <c r="I6" s="626"/>
      <c r="J6" s="626"/>
      <c r="K6" s="626"/>
      <c r="L6" s="626"/>
      <c r="M6" s="626"/>
      <c r="N6" s="626"/>
      <c r="O6" s="627"/>
      <c r="P6" s="59"/>
      <c r="Q6" s="582"/>
      <c r="R6" s="583"/>
      <c r="S6" s="583"/>
      <c r="T6" s="583"/>
      <c r="U6" s="583"/>
      <c r="V6" s="583"/>
      <c r="W6" s="583"/>
      <c r="X6" s="584"/>
      <c r="Y6" s="54"/>
      <c r="AC6"/>
      <c r="AD6"/>
      <c r="AE6"/>
      <c r="AF6"/>
      <c r="AG6"/>
      <c r="AH6"/>
      <c r="AI6"/>
      <c r="AJ6"/>
      <c r="AK6"/>
      <c r="AL6"/>
      <c r="AM6"/>
      <c r="AN6"/>
      <c r="AO6"/>
      <c r="AP6"/>
      <c r="AQ6"/>
      <c r="AR6"/>
      <c r="AS6"/>
      <c r="AT6"/>
      <c r="AU6"/>
      <c r="AV6"/>
      <c r="AW6"/>
      <c r="AX6"/>
      <c r="AY6"/>
      <c r="AZ6"/>
    </row>
    <row r="7" spans="2:52" ht="20.100000000000001" customHeight="1" x14ac:dyDescent="0.2">
      <c r="B7" s="54"/>
      <c r="C7" s="209" t="s">
        <v>104</v>
      </c>
      <c r="D7" s="695" t="s">
        <v>347</v>
      </c>
      <c r="E7" s="696"/>
      <c r="F7" s="696"/>
      <c r="G7" s="697" t="s">
        <v>346</v>
      </c>
      <c r="H7" s="698"/>
      <c r="I7" s="698"/>
      <c r="J7" s="698"/>
      <c r="K7" s="698"/>
      <c r="L7" s="698"/>
      <c r="M7" s="698"/>
      <c r="N7" s="698"/>
      <c r="O7" s="699"/>
      <c r="P7" s="60"/>
      <c r="Q7" s="1006" t="s">
        <v>277</v>
      </c>
      <c r="R7" s="1007"/>
      <c r="S7" s="1007"/>
      <c r="T7" s="1007"/>
      <c r="U7" s="1007"/>
      <c r="V7" s="1007"/>
      <c r="W7" s="637" t="s">
        <v>254</v>
      </c>
      <c r="X7" s="638"/>
      <c r="Y7" s="54"/>
      <c r="AC7"/>
      <c r="AD7"/>
      <c r="AE7"/>
      <c r="AF7"/>
      <c r="AG7"/>
      <c r="AH7"/>
      <c r="AI7"/>
      <c r="AJ7"/>
      <c r="AK7"/>
      <c r="AL7"/>
      <c r="AM7"/>
      <c r="AN7"/>
      <c r="AO7"/>
      <c r="AP7"/>
      <c r="AQ7"/>
      <c r="AR7"/>
      <c r="AS7"/>
      <c r="AT7"/>
      <c r="AU7"/>
      <c r="AV7"/>
      <c r="AW7"/>
      <c r="AX7"/>
      <c r="AY7"/>
      <c r="AZ7"/>
    </row>
    <row r="8" spans="2:52" ht="20.100000000000001" customHeight="1" x14ac:dyDescent="0.2">
      <c r="B8" s="54"/>
      <c r="C8" s="479" t="s">
        <v>39</v>
      </c>
      <c r="D8" s="463" t="s">
        <v>169</v>
      </c>
      <c r="E8" s="464"/>
      <c r="F8" s="465"/>
      <c r="G8" s="511">
        <f>$G$9/25.4</f>
        <v>8</v>
      </c>
      <c r="H8" s="512"/>
      <c r="I8" s="513"/>
      <c r="J8" s="482">
        <f>$J$9/25.4</f>
        <v>8</v>
      </c>
      <c r="K8" s="483"/>
      <c r="L8" s="484"/>
      <c r="M8" s="491">
        <f>$J$9/25.4</f>
        <v>8</v>
      </c>
      <c r="N8" s="492"/>
      <c r="O8" s="493"/>
      <c r="P8" s="30"/>
      <c r="Q8" s="1040" t="s">
        <v>298</v>
      </c>
      <c r="R8" s="1041"/>
      <c r="S8" s="1041"/>
      <c r="T8" s="1041"/>
      <c r="U8" s="1042"/>
      <c r="V8" s="358"/>
      <c r="W8" s="1195" t="s">
        <v>352</v>
      </c>
      <c r="X8" s="1196">
        <f>$G$33</f>
        <v>16.84754222167129</v>
      </c>
      <c r="Y8" s="54"/>
      <c r="AC8"/>
      <c r="AD8"/>
      <c r="AE8"/>
      <c r="AF8"/>
      <c r="AG8"/>
      <c r="AH8"/>
      <c r="AI8"/>
      <c r="AJ8"/>
      <c r="AK8"/>
      <c r="AL8"/>
      <c r="AM8"/>
      <c r="AN8"/>
      <c r="AO8"/>
      <c r="AP8"/>
      <c r="AQ8"/>
      <c r="AR8"/>
      <c r="AS8"/>
      <c r="AT8"/>
      <c r="AU8"/>
      <c r="AV8"/>
      <c r="AW8"/>
      <c r="AX8"/>
      <c r="AY8"/>
      <c r="AZ8"/>
    </row>
    <row r="9" spans="2:52" ht="20.100000000000001" customHeight="1" x14ac:dyDescent="0.2">
      <c r="B9" s="54"/>
      <c r="C9" s="480"/>
      <c r="D9" s="466"/>
      <c r="E9" s="467"/>
      <c r="F9" s="467"/>
      <c r="G9" s="516">
        <v>203.2</v>
      </c>
      <c r="H9" s="517"/>
      <c r="I9" s="518"/>
      <c r="J9" s="514">
        <f>$G$9</f>
        <v>203.2</v>
      </c>
      <c r="K9" s="515"/>
      <c r="L9" s="496"/>
      <c r="M9" s="494">
        <f>$G$9</f>
        <v>203.2</v>
      </c>
      <c r="N9" s="495"/>
      <c r="O9" s="496"/>
      <c r="P9" s="29"/>
      <c r="Q9" s="1035" t="s">
        <v>354</v>
      </c>
      <c r="R9" s="1036"/>
      <c r="S9" s="1037" t="str">
        <f>IF(Q9="JUPITER","cambiar por JÚPITER",IF(Q9="manchas en sol",'CONFIG.'!$H$37,IF(Q9="SATURNO","",IF(Q9="JÚPITER","",IF(Q9="LUNA",'CONFIG.'!$D$31,IF(Q9="MESSIER",'CONFIG.'!$G$60,IF(Q9="CIELO PROFUNDO",'CONFIG.'!$G$53,IF(Q9="SISTEMA SOLAR",'CONFIG.'!$G$46))))))))</f>
        <v>AR3315</v>
      </c>
      <c r="T9" s="1038"/>
      <c r="U9" s="1038"/>
      <c r="V9" s="1039"/>
      <c r="W9" s="1025">
        <f>IF(Q9="MANCHAS EN SOL",'CONFIG.'!J37,IF(Q9="LUNA",'CONFIG.'!J31,IF(Q9="SATURNO",'CONFIG.'!J21,IF(Q9="JÚPITER",'CONFIG.'!J26,IF(Q9="MESSIER",'CONFIG.'!J60,IF(Q9="CIELO PROFUNDO",'CONFIG.'!J53,IF(Q9="SISTEMA SOLAR",'CONFIG.'!J46)))))))</f>
        <v>-26.72</v>
      </c>
      <c r="X9" s="1026"/>
      <c r="Y9" s="61"/>
      <c r="AC9"/>
      <c r="AD9"/>
      <c r="AE9"/>
      <c r="AF9"/>
      <c r="AG9"/>
      <c r="AH9"/>
      <c r="AI9"/>
      <c r="AJ9"/>
      <c r="AK9"/>
      <c r="AL9"/>
      <c r="AM9"/>
      <c r="AN9"/>
      <c r="AO9"/>
      <c r="AP9"/>
      <c r="AQ9"/>
      <c r="AR9"/>
      <c r="AS9"/>
      <c r="AT9"/>
      <c r="AU9"/>
      <c r="AV9"/>
      <c r="AW9"/>
      <c r="AX9"/>
      <c r="AY9"/>
      <c r="AZ9"/>
    </row>
    <row r="10" spans="2:52" ht="20.100000000000001" customHeight="1" thickBot="1" x14ac:dyDescent="0.25">
      <c r="B10" s="54"/>
      <c r="C10" s="481"/>
      <c r="D10" s="508" t="s">
        <v>240</v>
      </c>
      <c r="E10" s="509"/>
      <c r="F10" s="510"/>
      <c r="G10" s="497">
        <v>2032</v>
      </c>
      <c r="H10" s="498"/>
      <c r="I10" s="499"/>
      <c r="J10" s="505">
        <f>$G$10</f>
        <v>2032</v>
      </c>
      <c r="K10" s="506"/>
      <c r="L10" s="507"/>
      <c r="M10" s="500">
        <f>$G$10</f>
        <v>2032</v>
      </c>
      <c r="N10" s="501"/>
      <c r="O10" s="502"/>
      <c r="P10" s="29"/>
      <c r="Q10" s="1016" t="str">
        <f>IF($Q$9="LUNA",'CONFIG.'!$F$31,"")</f>
        <v/>
      </c>
      <c r="R10" s="1017"/>
      <c r="S10" s="1015" t="str">
        <f>IF(Q9="LUNA",'CONFIG.'!$E$31,"")</f>
        <v/>
      </c>
      <c r="T10" s="1015"/>
      <c r="U10" s="1018" t="str">
        <f>IF(Q9="LUNA",'CONFIG.'!$H$31,"")</f>
        <v/>
      </c>
      <c r="V10" s="1018"/>
      <c r="W10" s="1027" t="str">
        <f>IF($W$9&gt;$X$8,"Sobrepaso mv",IF($W$9=0,"¿Magnitud...?",""))</f>
        <v/>
      </c>
      <c r="X10" s="1028"/>
      <c r="Y10" s="56"/>
      <c r="AC10"/>
      <c r="AD10"/>
      <c r="AE10"/>
      <c r="AF10"/>
      <c r="AG10"/>
      <c r="AH10"/>
      <c r="AI10"/>
      <c r="AJ10"/>
      <c r="AK10"/>
      <c r="AL10"/>
      <c r="AM10"/>
      <c r="AN10"/>
      <c r="AO10"/>
      <c r="AP10"/>
      <c r="AQ10"/>
      <c r="AR10"/>
      <c r="AS10"/>
      <c r="AT10"/>
      <c r="AU10"/>
      <c r="AV10"/>
      <c r="AW10"/>
      <c r="AX10"/>
      <c r="AY10"/>
      <c r="AZ10"/>
    </row>
    <row r="11" spans="2:52" ht="21.2" customHeight="1" thickBot="1" x14ac:dyDescent="0.25">
      <c r="B11" s="54"/>
      <c r="C11" s="503" t="s">
        <v>171</v>
      </c>
      <c r="D11" s="504"/>
      <c r="E11" s="504"/>
      <c r="F11" s="504"/>
      <c r="G11" s="504"/>
      <c r="H11" s="504"/>
      <c r="I11" s="504"/>
      <c r="J11" s="504"/>
      <c r="K11" s="504"/>
      <c r="L11" s="504"/>
      <c r="M11" s="504"/>
      <c r="N11" s="504"/>
      <c r="O11" s="504"/>
      <c r="P11" s="98"/>
      <c r="Q11" s="405">
        <f>IF(Q9="MANCHAS EN SOL",'CONFIG.'!D41,IF(Q9="LUNA",'CONFIG.'!C34,IF(Q9="SATURNO",'CONFIG.'!C24,IF(Q9="JÚPITER",'CONFIG.'!C29,IF(Q9="MESSIER",'CONFIG.'!C63,IF(Q9="CIELO PROFUNDO",'CONFIG.'!C56,IF(Q9="SISTEMA SOLAR",'CONFIG.'!C49)))))))</f>
        <v>189</v>
      </c>
      <c r="R11" s="425">
        <f>IF(Q9="MANCHAS EN SOL",'CONFIG.'!E41,IF(Q9="LUNA",'CONFIG.'!C34,IF(Q9="SATURNO","",IF(Q9="JÚPITER",'CONFIG.'!C29,IF(Q9="MESSIER",'CONFIG.'!D63,IF(Q9="cielo profundo",'CONFIG.'!D56,IF(Q9="SISTEMA SOLAR",'CONFIG.'!C49)))))))</f>
        <v>141.74999999999997</v>
      </c>
      <c r="S11" s="1001">
        <f>IF($Q$9="LUNA",'CONFIG.'!$D$32,IF($Q$9="MANCHAS EN SOL",'CONFIG.'!$F$39,IF($Q$9="SATURNO",'CONFIG.'!$D$22,IF($Q$9="JÚPITER",'CONFIG.'!$D$27,IF($Q$9="MESSIER",'CONFIG.'!$D$61,IF($Q$9="CIELO PROFUNDO",'CONFIG.'!$F$54,IF($Q$9="SISTEMA SOLAR",'CONFIG.'!$D$47)))))))</f>
        <v>151692240.880674</v>
      </c>
      <c r="T11" s="1002"/>
      <c r="U11" s="1002"/>
      <c r="V11" s="1002"/>
      <c r="W11" s="1003"/>
      <c r="X11" s="428">
        <f>IF($Q$9="LUNA",'CONFIG.'!$M$31,IF($Q$9="MANCHAS EN SOL",'CONFIG.'!$M$37,IF($Q$9="SATURNO",'CONFIG.'!$M$21,IF($Q$9="JÚPITER",'CONFIG.'!$M$26,IF($Q$9="MESSIER",'CONFIG.'!$M$60,IF($Q$9="CIELO PROFUNDO",'CONFIG.'!$M$53,IF($Q$9="SISTEMA SOLAR",'CONFIG.'!$M$46)))))))</f>
        <v>43612</v>
      </c>
      <c r="Y11" s="54"/>
      <c r="AC11"/>
      <c r="AD11"/>
      <c r="AE11"/>
      <c r="AF11"/>
      <c r="AG11"/>
      <c r="AH11"/>
      <c r="AI11"/>
      <c r="AJ11"/>
      <c r="AK11"/>
      <c r="AL11"/>
      <c r="AM11"/>
      <c r="AN11"/>
      <c r="AO11"/>
      <c r="AP11"/>
      <c r="AQ11"/>
      <c r="AR11"/>
      <c r="AS11"/>
      <c r="AT11"/>
      <c r="AU11"/>
      <c r="AV11"/>
      <c r="AW11"/>
      <c r="AX11"/>
      <c r="AY11"/>
      <c r="AZ11"/>
    </row>
    <row r="12" spans="2:52" ht="20.100000000000001" customHeight="1" thickBot="1" x14ac:dyDescent="0.25">
      <c r="B12" s="54"/>
      <c r="C12" s="485" t="s">
        <v>166</v>
      </c>
      <c r="D12" s="486"/>
      <c r="E12" s="486"/>
      <c r="F12" s="487"/>
      <c r="G12" s="987" t="s">
        <v>165</v>
      </c>
      <c r="H12" s="988"/>
      <c r="I12" s="989"/>
      <c r="J12" s="995" t="s">
        <v>258</v>
      </c>
      <c r="K12" s="996"/>
      <c r="L12" s="997"/>
      <c r="M12" s="485" t="s">
        <v>265</v>
      </c>
      <c r="N12" s="997"/>
      <c r="O12" s="1029"/>
      <c r="P12" s="62"/>
      <c r="Q12" s="1019" t="s">
        <v>266</v>
      </c>
      <c r="R12" s="1020"/>
      <c r="S12" s="1020"/>
      <c r="T12" s="1020"/>
      <c r="U12" s="1020"/>
      <c r="V12" s="1020"/>
      <c r="W12" s="1020"/>
      <c r="X12" s="1021"/>
      <c r="Y12" s="63"/>
      <c r="AC12"/>
      <c r="AD12"/>
      <c r="AE12"/>
      <c r="AF12"/>
      <c r="AG12"/>
      <c r="AH12"/>
      <c r="AI12"/>
      <c r="AJ12"/>
      <c r="AK12"/>
      <c r="AL12"/>
      <c r="AM12"/>
      <c r="AN12"/>
      <c r="AO12"/>
      <c r="AP12"/>
      <c r="AQ12"/>
      <c r="AR12"/>
      <c r="AS12"/>
      <c r="AT12"/>
      <c r="AU12"/>
      <c r="AV12"/>
      <c r="AW12"/>
      <c r="AX12"/>
      <c r="AY12"/>
      <c r="AZ12"/>
    </row>
    <row r="13" spans="2:52" ht="20.100000000000001" customHeight="1" thickBot="1" x14ac:dyDescent="0.25">
      <c r="B13" s="54"/>
      <c r="C13" s="488"/>
      <c r="D13" s="489"/>
      <c r="E13" s="489"/>
      <c r="F13" s="490"/>
      <c r="G13" s="990"/>
      <c r="H13" s="991"/>
      <c r="I13" s="992"/>
      <c r="J13" s="998"/>
      <c r="K13" s="532"/>
      <c r="L13" s="532"/>
      <c r="M13" s="1030"/>
      <c r="N13" s="532"/>
      <c r="O13" s="1031"/>
      <c r="P13" s="62"/>
      <c r="Q13" s="946" t="s">
        <v>302</v>
      </c>
      <c r="R13" s="947"/>
      <c r="S13" s="947"/>
      <c r="T13" s="947"/>
      <c r="U13" s="947"/>
      <c r="V13" s="948"/>
      <c r="W13" s="394">
        <v>6</v>
      </c>
      <c r="X13" s="392">
        <v>7.5</v>
      </c>
      <c r="Y13" s="64"/>
      <c r="AC13"/>
      <c r="AD13"/>
      <c r="AE13"/>
      <c r="AF13"/>
      <c r="AG13"/>
      <c r="AH13"/>
      <c r="AI13"/>
      <c r="AJ13"/>
      <c r="AK13"/>
      <c r="AL13"/>
      <c r="AM13"/>
      <c r="AN13"/>
      <c r="AO13"/>
      <c r="AP13"/>
      <c r="AQ13"/>
      <c r="AR13"/>
      <c r="AS13"/>
      <c r="AT13"/>
      <c r="AU13"/>
      <c r="AV13"/>
      <c r="AW13"/>
      <c r="AX13"/>
      <c r="AY13"/>
      <c r="AZ13"/>
    </row>
    <row r="14" spans="2:52" ht="25.15" customHeight="1" thickBot="1" x14ac:dyDescent="0.25">
      <c r="B14" s="54"/>
      <c r="C14" s="656" t="s">
        <v>323</v>
      </c>
      <c r="D14" s="657"/>
      <c r="E14" s="657"/>
      <c r="F14" s="657"/>
      <c r="G14" s="657"/>
      <c r="H14" s="968" t="s">
        <v>239</v>
      </c>
      <c r="I14" s="969"/>
      <c r="J14" s="969"/>
      <c r="K14" s="969"/>
      <c r="L14" s="969"/>
      <c r="M14" s="969"/>
      <c r="N14" s="969"/>
      <c r="O14" s="969"/>
      <c r="P14" s="65"/>
      <c r="Q14" s="949" t="s">
        <v>305</v>
      </c>
      <c r="R14" s="950"/>
      <c r="S14" s="393" t="s">
        <v>304</v>
      </c>
      <c r="T14" s="951" t="s">
        <v>303</v>
      </c>
      <c r="U14" s="952"/>
      <c r="V14" s="953" t="s">
        <v>306</v>
      </c>
      <c r="W14" s="954"/>
      <c r="X14" s="955"/>
      <c r="Y14" s="67"/>
      <c r="AC14"/>
      <c r="AD14"/>
      <c r="AE14"/>
      <c r="AF14"/>
      <c r="AG14"/>
      <c r="AH14"/>
      <c r="AI14"/>
      <c r="AJ14"/>
      <c r="AK14"/>
      <c r="AL14"/>
      <c r="AM14"/>
      <c r="AN14"/>
      <c r="AO14"/>
      <c r="AP14"/>
      <c r="AQ14"/>
      <c r="AR14"/>
      <c r="AS14"/>
      <c r="AT14"/>
      <c r="AU14"/>
      <c r="AV14"/>
      <c r="AW14"/>
      <c r="AX14"/>
      <c r="AY14"/>
      <c r="AZ14"/>
    </row>
    <row r="15" spans="2:52" ht="18" customHeight="1" thickBot="1" x14ac:dyDescent="0.25">
      <c r="B15" s="54"/>
      <c r="C15" s="658" t="s">
        <v>40</v>
      </c>
      <c r="D15" s="659"/>
      <c r="E15" s="659"/>
      <c r="F15" s="660"/>
      <c r="G15" s="984">
        <f>IF($G$22=0,"df Ocular ?",$G$25/$G$9)</f>
        <v>20</v>
      </c>
      <c r="H15" s="985"/>
      <c r="I15" s="986"/>
      <c r="J15" s="984">
        <f>$J$25/$J$9</f>
        <v>20</v>
      </c>
      <c r="K15" s="993"/>
      <c r="L15" s="994"/>
      <c r="M15" s="470">
        <f>IF($M$22=0,"df Ocular ?",IF($M$24=0,"Distancia",IF($M$22=0,"-",$M$25/$M$9)))</f>
        <v>104</v>
      </c>
      <c r="N15" s="471"/>
      <c r="O15" s="472"/>
      <c r="P15" s="68"/>
      <c r="Q15" s="1023" t="s">
        <v>272</v>
      </c>
      <c r="R15" s="1024"/>
      <c r="S15" s="1024"/>
      <c r="T15" s="1024"/>
      <c r="U15" s="1024"/>
      <c r="V15" s="1024"/>
      <c r="W15" s="1024"/>
      <c r="X15" s="1024"/>
      <c r="Y15" s="11"/>
      <c r="AC15"/>
      <c r="AD15"/>
      <c r="AE15"/>
      <c r="AF15"/>
      <c r="AG15"/>
      <c r="AH15"/>
      <c r="AI15"/>
      <c r="AJ15"/>
      <c r="AK15"/>
      <c r="AL15"/>
      <c r="AM15"/>
      <c r="AN15"/>
      <c r="AO15"/>
      <c r="AP15"/>
      <c r="AQ15"/>
      <c r="AR15"/>
      <c r="AS15"/>
      <c r="AT15"/>
      <c r="AU15"/>
      <c r="AV15"/>
      <c r="AW15"/>
      <c r="AX15"/>
      <c r="AY15"/>
      <c r="AZ15"/>
    </row>
    <row r="16" spans="2:52" ht="18" customHeight="1" thickBot="1" x14ac:dyDescent="0.25">
      <c r="B16" s="54"/>
      <c r="C16" s="461" t="s">
        <v>0</v>
      </c>
      <c r="D16" s="462"/>
      <c r="E16" s="462"/>
      <c r="F16" s="462"/>
      <c r="G16" s="673">
        <f>115.908/$G$9</f>
        <v>0.5704133858267717</v>
      </c>
      <c r="H16" s="674"/>
      <c r="I16" s="675"/>
      <c r="J16" s="970">
        <f>(206265*$D$45*10^(-3))/$J$25</f>
        <v>0.19032818651574804</v>
      </c>
      <c r="K16" s="971"/>
      <c r="L16" s="971"/>
      <c r="M16" s="975">
        <f>(206265*$D$45*10^(-3))/$M$25</f>
        <v>3.6601574329951543E-2</v>
      </c>
      <c r="N16" s="976"/>
      <c r="O16" s="977"/>
      <c r="P16" s="69"/>
      <c r="Q16" s="1022"/>
      <c r="R16" s="1022"/>
      <c r="S16" s="1022"/>
      <c r="T16" s="1022"/>
      <c r="U16" s="1022"/>
      <c r="V16" s="1022"/>
      <c r="W16" s="1022"/>
      <c r="X16" s="1022"/>
      <c r="Y16" s="56"/>
      <c r="AC16"/>
      <c r="AD16"/>
      <c r="AE16"/>
      <c r="AF16"/>
      <c r="AG16"/>
      <c r="AH16"/>
      <c r="AI16"/>
      <c r="AJ16"/>
      <c r="AK16"/>
      <c r="AL16"/>
      <c r="AM16"/>
      <c r="AN16"/>
      <c r="AO16"/>
      <c r="AP16" s="155"/>
      <c r="AQ16"/>
      <c r="AR16"/>
      <c r="AS16"/>
      <c r="AT16"/>
      <c r="AU16"/>
      <c r="AV16"/>
      <c r="AW16"/>
      <c r="AX16"/>
      <c r="AY16"/>
      <c r="AZ16"/>
    </row>
    <row r="17" spans="2:52" ht="18" customHeight="1" thickBot="1" x14ac:dyDescent="0.25">
      <c r="B17" s="54"/>
      <c r="C17" s="371" t="s">
        <v>270</v>
      </c>
      <c r="D17" s="1043">
        <f>IF($Q$9="cielo profundo",$G$17,IF(Q9="messier",$G$17,$H$17))</f>
        <v>0.66931200000000002</v>
      </c>
      <c r="E17" s="1044"/>
      <c r="F17" s="1045"/>
      <c r="G17" s="346">
        <f>(0.955*((304.8/$G$9*5.81/J15*9/$D$45)*10/$X$13))</f>
        <v>1.3316520000000001</v>
      </c>
      <c r="H17" s="1046">
        <f>(0.48*((304.8/$G$9*5.81/$J$15*9/$D$45)*10/$X$13))</f>
        <v>0.66931200000000002</v>
      </c>
      <c r="I17" s="1047"/>
      <c r="J17" s="609">
        <f>$D$17/J16</f>
        <v>3.5166204872372919</v>
      </c>
      <c r="K17" s="610"/>
      <c r="L17" s="610"/>
      <c r="M17" s="611">
        <f>$D$17/M16</f>
        <v>18.286426533633918</v>
      </c>
      <c r="N17" s="610"/>
      <c r="O17" s="612"/>
      <c r="P17" s="69"/>
      <c r="Q17" s="1022"/>
      <c r="R17" s="1022"/>
      <c r="S17" s="1022"/>
      <c r="T17" s="1022"/>
      <c r="U17" s="1022"/>
      <c r="V17" s="1022"/>
      <c r="W17" s="1022"/>
      <c r="X17" s="1022"/>
      <c r="Y17" s="56"/>
      <c r="AC17"/>
      <c r="AD17"/>
      <c r="AE17"/>
      <c r="AF17"/>
      <c r="AG17"/>
      <c r="AH17"/>
      <c r="AI17"/>
      <c r="AJ17"/>
      <c r="AK17"/>
      <c r="AL17"/>
      <c r="AM17"/>
      <c r="AN17"/>
      <c r="AO17"/>
      <c r="AP17" s="345"/>
      <c r="AQ17"/>
      <c r="AR17"/>
      <c r="AS17"/>
      <c r="AT17"/>
      <c r="AU17"/>
      <c r="AV17"/>
      <c r="AW17"/>
      <c r="AX17"/>
      <c r="AY17"/>
      <c r="AZ17"/>
    </row>
    <row r="18" spans="2:52" ht="18" customHeight="1" thickBot="1" x14ac:dyDescent="0.25">
      <c r="B18" s="54"/>
      <c r="C18" s="1048" t="s">
        <v>273</v>
      </c>
      <c r="D18" s="1049"/>
      <c r="E18" s="1049"/>
      <c r="F18" s="1050"/>
      <c r="G18" s="676">
        <f>(1.22*546.7*10^(-9)*3.84*10^8/($G$9/10^3))</f>
        <v>1260.4233070866144</v>
      </c>
      <c r="H18" s="677"/>
      <c r="I18" s="677"/>
      <c r="J18" s="676">
        <f>(1.22*546.7*10^(-9)*3.84*10^8/($J$9/10^3))</f>
        <v>1260.4233070866144</v>
      </c>
      <c r="K18" s="677"/>
      <c r="L18" s="677"/>
      <c r="M18" s="979">
        <f>(1.22*546.7*10^(-9)*3.84*10^8/($M$9/10^3))</f>
        <v>1260.4233070866144</v>
      </c>
      <c r="N18" s="677"/>
      <c r="O18" s="980"/>
      <c r="P18" s="71"/>
      <c r="Q18" s="1022"/>
      <c r="R18" s="1022"/>
      <c r="S18" s="1022"/>
      <c r="T18" s="1022"/>
      <c r="U18" s="1022"/>
      <c r="V18" s="1022"/>
      <c r="W18" s="1022"/>
      <c r="X18" s="1022"/>
      <c r="Y18" s="56"/>
      <c r="AC18"/>
      <c r="AD18"/>
      <c r="AE18"/>
      <c r="AF18"/>
      <c r="AG18"/>
      <c r="AH18"/>
      <c r="AI18"/>
      <c r="AJ18"/>
      <c r="AK18"/>
      <c r="AL18"/>
      <c r="AM18"/>
      <c r="AN18"/>
      <c r="AO18"/>
      <c r="AP18" s="156"/>
      <c r="AQ18"/>
      <c r="AR18"/>
      <c r="AS18"/>
      <c r="AT18"/>
      <c r="AU18"/>
      <c r="AV18"/>
      <c r="AW18"/>
      <c r="AX18"/>
      <c r="AY18"/>
      <c r="AZ18"/>
    </row>
    <row r="19" spans="2:52" ht="16.350000000000001" customHeight="1" thickBot="1" x14ac:dyDescent="0.25">
      <c r="B19" s="54"/>
      <c r="C19" s="613" t="s">
        <v>150</v>
      </c>
      <c r="D19" s="614"/>
      <c r="E19" s="614"/>
      <c r="F19" s="614"/>
      <c r="G19" s="615"/>
      <c r="H19" s="615"/>
      <c r="I19" s="615"/>
      <c r="J19" s="615"/>
      <c r="K19" s="615"/>
      <c r="L19" s="615"/>
      <c r="M19" s="615"/>
      <c r="N19" s="615"/>
      <c r="O19" s="615"/>
      <c r="P19" s="71"/>
      <c r="Q19" s="1022"/>
      <c r="R19" s="1022"/>
      <c r="S19" s="1022"/>
      <c r="T19" s="1022"/>
      <c r="U19" s="1022"/>
      <c r="V19" s="1022"/>
      <c r="W19" s="1022"/>
      <c r="X19" s="1022"/>
      <c r="Y19" s="56"/>
      <c r="AC19"/>
      <c r="AD19"/>
      <c r="AE19"/>
      <c r="AF19"/>
      <c r="AG19"/>
      <c r="AH19"/>
      <c r="AI19"/>
      <c r="AJ19"/>
      <c r="AK19"/>
      <c r="AL19"/>
      <c r="AM19"/>
      <c r="AN19"/>
      <c r="AO19"/>
      <c r="AP19"/>
      <c r="AQ19"/>
      <c r="AR19"/>
      <c r="AS19"/>
      <c r="AT19"/>
      <c r="AU19"/>
      <c r="AV19"/>
      <c r="AW19"/>
      <c r="AX19"/>
      <c r="AY19"/>
      <c r="AZ19"/>
    </row>
    <row r="20" spans="2:52" ht="18" customHeight="1" x14ac:dyDescent="0.2">
      <c r="B20" s="54"/>
      <c r="C20" s="468" t="s">
        <v>43</v>
      </c>
      <c r="D20" s="680" t="s">
        <v>251</v>
      </c>
      <c r="E20" s="681"/>
      <c r="F20" s="978"/>
      <c r="G20" s="958">
        <v>0</v>
      </c>
      <c r="H20" s="959"/>
      <c r="I20" s="960"/>
      <c r="J20" s="670">
        <f>IF($Q$9="MESSIER",6.3,IF($Q$9="CIELO PROFUNDO",6.3,$G$20))</f>
        <v>0</v>
      </c>
      <c r="K20" s="671"/>
      <c r="L20" s="672"/>
      <c r="M20" s="670">
        <f>IF($Q$9="MESSIER",6.3,IF($Q$9="CIELO PROFUNDO",6.3,$G$20))</f>
        <v>0</v>
      </c>
      <c r="N20" s="671"/>
      <c r="O20" s="672"/>
      <c r="P20" s="72"/>
      <c r="Q20" s="1010" t="s">
        <v>233</v>
      </c>
      <c r="R20" s="1011"/>
      <c r="S20" s="1011"/>
      <c r="T20" s="1011"/>
      <c r="U20" s="1011"/>
      <c r="V20" s="1011"/>
      <c r="W20" s="1011"/>
      <c r="X20" s="1011"/>
      <c r="Y20" s="56"/>
      <c r="AC20"/>
      <c r="AD20"/>
      <c r="AE20"/>
      <c r="AF20"/>
      <c r="AG20"/>
      <c r="AH20"/>
      <c r="AI20"/>
      <c r="AJ20"/>
      <c r="AK20"/>
      <c r="AL20"/>
      <c r="AM20"/>
      <c r="AN20"/>
      <c r="AO20"/>
      <c r="AP20"/>
      <c r="AQ20"/>
      <c r="AR20"/>
      <c r="AS20"/>
      <c r="AT20"/>
      <c r="AU20"/>
      <c r="AV20"/>
      <c r="AW20"/>
      <c r="AX20"/>
      <c r="AY20"/>
      <c r="AZ20"/>
    </row>
    <row r="21" spans="2:52" ht="18" customHeight="1" thickBot="1" x14ac:dyDescent="0.25">
      <c r="B21" s="54"/>
      <c r="C21" s="469"/>
      <c r="D21" s="689" t="s">
        <v>5</v>
      </c>
      <c r="E21" s="690"/>
      <c r="F21" s="967"/>
      <c r="G21" s="972">
        <v>2</v>
      </c>
      <c r="H21" s="973"/>
      <c r="I21" s="974"/>
      <c r="J21" s="1032">
        <f>G21</f>
        <v>2</v>
      </c>
      <c r="K21" s="1033"/>
      <c r="L21" s="1034"/>
      <c r="M21" s="981">
        <f>IF($Q$9="messier","''Red.Focal''",IF($Q$9="cielo profundo"," ''Red.Focal''",$G$21))</f>
        <v>2</v>
      </c>
      <c r="N21" s="982"/>
      <c r="O21" s="983"/>
      <c r="P21" s="73"/>
      <c r="Q21" s="1011"/>
      <c r="R21" s="1011"/>
      <c r="S21" s="1011"/>
      <c r="T21" s="1011"/>
      <c r="U21" s="1011"/>
      <c r="V21" s="1011"/>
      <c r="W21" s="1011"/>
      <c r="X21" s="1011"/>
      <c r="Y21" s="56"/>
      <c r="AC21"/>
      <c r="AD21"/>
      <c r="AE21"/>
      <c r="AF21"/>
      <c r="AG21"/>
      <c r="AH21"/>
      <c r="AI21"/>
      <c r="AJ21"/>
      <c r="AK21"/>
      <c r="AL21"/>
      <c r="AM21"/>
      <c r="AN21"/>
      <c r="AO21"/>
      <c r="AP21"/>
      <c r="AQ21"/>
      <c r="AR21"/>
      <c r="AS21"/>
      <c r="AT21"/>
      <c r="AU21"/>
      <c r="AV21"/>
      <c r="AW21"/>
      <c r="AX21"/>
      <c r="AY21"/>
      <c r="AZ21"/>
    </row>
    <row r="22" spans="2:52" ht="18" customHeight="1" thickBot="1" x14ac:dyDescent="0.25">
      <c r="B22" s="54"/>
      <c r="C22" s="956" t="s">
        <v>41</v>
      </c>
      <c r="D22" s="692" t="s">
        <v>42</v>
      </c>
      <c r="E22" s="693"/>
      <c r="F22" s="694"/>
      <c r="G22" s="628">
        <v>12.5</v>
      </c>
      <c r="H22" s="629"/>
      <c r="I22" s="630"/>
      <c r="J22" s="683" t="str">
        <f>IF($G$23=0,"Campo ?","")</f>
        <v/>
      </c>
      <c r="K22" s="684"/>
      <c r="L22" s="685"/>
      <c r="M22" s="964">
        <v>12.5</v>
      </c>
      <c r="N22" s="965"/>
      <c r="O22" s="966"/>
      <c r="P22" s="74"/>
      <c r="Q22" s="1012"/>
      <c r="R22" s="1012"/>
      <c r="S22" s="1012"/>
      <c r="T22" s="1012"/>
      <c r="U22" s="1012"/>
      <c r="V22" s="1012"/>
      <c r="W22" s="1012"/>
      <c r="X22" s="1012"/>
      <c r="Y22" s="56"/>
      <c r="AC22"/>
      <c r="AD22"/>
      <c r="AE22"/>
      <c r="AF22"/>
      <c r="AG22"/>
      <c r="AH22"/>
      <c r="AI22"/>
      <c r="AJ22"/>
      <c r="AK22"/>
      <c r="AL22"/>
      <c r="AM22"/>
      <c r="AN22"/>
      <c r="AO22"/>
      <c r="AP22"/>
      <c r="AQ22"/>
      <c r="AR22"/>
      <c r="AS22"/>
      <c r="AT22"/>
      <c r="AU22"/>
      <c r="AV22"/>
      <c r="AW22"/>
      <c r="AX22"/>
      <c r="AY22"/>
      <c r="AZ22"/>
    </row>
    <row r="23" spans="2:52" ht="18" customHeight="1" x14ac:dyDescent="0.2">
      <c r="B23" s="54"/>
      <c r="C23" s="957"/>
      <c r="D23" s="634" t="s">
        <v>91</v>
      </c>
      <c r="E23" s="635"/>
      <c r="F23" s="636"/>
      <c r="G23" s="631">
        <v>52</v>
      </c>
      <c r="H23" s="632"/>
      <c r="I23" s="633"/>
      <c r="J23" s="961" t="str">
        <f>IF($J$20=0,"",IF($J$21=0,"",IF($J$20/$J$21&gt;1,"Red.F. o  Barlow","")))</f>
        <v/>
      </c>
      <c r="K23" s="962"/>
      <c r="L23" s="963"/>
      <c r="M23" s="945" t="str">
        <f>IF($M$20=0,"",IF($M$21=0,"",IF($M$20/$M$21&gt;1,"Red F o Barlow","")))</f>
        <v/>
      </c>
      <c r="N23" s="492"/>
      <c r="O23" s="493"/>
      <c r="P23" s="75"/>
      <c r="Q23" s="1012"/>
      <c r="R23" s="1012"/>
      <c r="S23" s="1012"/>
      <c r="T23" s="1012"/>
      <c r="U23" s="1012"/>
      <c r="V23" s="1012"/>
      <c r="W23" s="1012"/>
      <c r="X23" s="1012"/>
      <c r="Y23" s="56"/>
      <c r="AC23"/>
      <c r="AD23"/>
      <c r="AE23"/>
      <c r="AF23"/>
      <c r="AG23"/>
      <c r="AH23"/>
      <c r="AI23"/>
      <c r="AJ23"/>
      <c r="AK23"/>
      <c r="AL23"/>
      <c r="AM23"/>
      <c r="AN23"/>
      <c r="AO23"/>
      <c r="AP23"/>
      <c r="AQ23"/>
      <c r="AR23"/>
      <c r="AS23"/>
      <c r="AT23"/>
      <c r="AU23"/>
      <c r="AV23"/>
      <c r="AW23"/>
      <c r="AX23"/>
      <c r="AY23"/>
      <c r="AZ23"/>
    </row>
    <row r="24" spans="2:52" ht="18" customHeight="1" thickBot="1" x14ac:dyDescent="0.25">
      <c r="B24" s="54"/>
      <c r="C24" s="686" t="s">
        <v>97</v>
      </c>
      <c r="D24" s="687"/>
      <c r="E24" s="687"/>
      <c r="F24" s="688"/>
      <c r="G24" s="720">
        <v>0.45</v>
      </c>
      <c r="H24" s="721"/>
      <c r="I24" s="722"/>
      <c r="J24" s="737" t="str">
        <f>IF($M$24=0,"Distancia →","")</f>
        <v/>
      </c>
      <c r="K24" s="738"/>
      <c r="L24" s="739"/>
      <c r="M24" s="740">
        <v>65</v>
      </c>
      <c r="N24" s="741"/>
      <c r="O24" s="742"/>
      <c r="P24" s="76"/>
      <c r="Q24" s="547" t="s">
        <v>234</v>
      </c>
      <c r="R24" s="1013"/>
      <c r="S24" s="1013"/>
      <c r="T24" s="1013"/>
      <c r="U24" s="1013"/>
      <c r="V24" s="1013"/>
      <c r="W24" s="1013"/>
      <c r="X24" s="1013"/>
      <c r="Y24" s="54"/>
      <c r="AC24"/>
      <c r="AD24"/>
      <c r="AE24"/>
      <c r="AF24"/>
      <c r="AG24"/>
      <c r="AH24"/>
      <c r="AI24"/>
      <c r="AJ24"/>
      <c r="AK24"/>
      <c r="AL24"/>
      <c r="AM24"/>
      <c r="AN24"/>
      <c r="AO24"/>
      <c r="AP24"/>
      <c r="AQ24"/>
      <c r="AR24"/>
      <c r="AS24"/>
      <c r="AT24"/>
      <c r="AU24"/>
      <c r="AV24"/>
      <c r="AW24"/>
      <c r="AX24"/>
      <c r="AY24"/>
      <c r="AZ24"/>
    </row>
    <row r="25" spans="2:52" ht="18" customHeight="1" thickBot="1" x14ac:dyDescent="0.25">
      <c r="B25" s="54"/>
      <c r="C25" s="723" t="s">
        <v>236</v>
      </c>
      <c r="D25" s="724"/>
      <c r="E25" s="724"/>
      <c r="F25" s="725"/>
      <c r="G25" s="709">
        <f>IF($G$22=0,"?",IF($G$20&gt;0,$G$10*$G$20/10,IF($G$21&gt;0,$G$10*$G$21,$G$10)))</f>
        <v>4064</v>
      </c>
      <c r="H25" s="710"/>
      <c r="I25" s="711"/>
      <c r="J25" s="709">
        <f>(IF($J$20&gt;0,$J$10*$J$20/10,IF($J$21&gt;0,$J$10*$J$21,$J$10)))</f>
        <v>4064</v>
      </c>
      <c r="K25" s="732"/>
      <c r="L25" s="733"/>
      <c r="M25" s="729">
        <f>IF($M$24=0,"-",IF($M$22=0,"?",IF($M$20&gt;0,$M$20/10*($M$10*($M$24/$M$22)),IF($M$21&gt;0,$M$21*($M$10*$M$24/$M$22),($M$10*(($M$24/$M$22)))))))</f>
        <v>21132.799999999999</v>
      </c>
      <c r="N25" s="730"/>
      <c r="O25" s="731"/>
      <c r="P25" s="77"/>
      <c r="Q25" s="1013"/>
      <c r="R25" s="1013"/>
      <c r="S25" s="1013"/>
      <c r="T25" s="1013"/>
      <c r="U25" s="1013"/>
      <c r="V25" s="1013"/>
      <c r="W25" s="1013"/>
      <c r="X25" s="1013"/>
      <c r="Y25" s="54"/>
      <c r="AC25"/>
      <c r="AD25"/>
      <c r="AE25"/>
      <c r="AF25"/>
      <c r="AG25"/>
      <c r="AH25"/>
      <c r="AI25"/>
      <c r="AJ25"/>
      <c r="AK25"/>
      <c r="AL25"/>
      <c r="AM25"/>
      <c r="AN25"/>
      <c r="AO25"/>
      <c r="AP25"/>
      <c r="AQ25"/>
      <c r="AR25"/>
      <c r="AS25"/>
      <c r="AT25"/>
      <c r="AU25"/>
      <c r="AV25"/>
      <c r="AW25"/>
      <c r="AX25"/>
      <c r="AY25"/>
      <c r="AZ25"/>
    </row>
    <row r="26" spans="2:52" ht="18" customHeight="1" x14ac:dyDescent="0.2">
      <c r="B26" s="54"/>
      <c r="C26" s="746" t="s">
        <v>66</v>
      </c>
      <c r="D26" s="680" t="s">
        <v>49</v>
      </c>
      <c r="E26" s="681"/>
      <c r="F26" s="682"/>
      <c r="G26" s="667">
        <f>IF($G$22=0,"-",IF(($G$25/$G$22)&gt;$G$9*2.75,"Supera aumento",IF($G$22=0,"Ocular ?",$G$25/$G$22)))</f>
        <v>325.12</v>
      </c>
      <c r="H26" s="668"/>
      <c r="I26" s="669"/>
      <c r="J26" s="726"/>
      <c r="K26" s="727"/>
      <c r="L26" s="728"/>
      <c r="M26" s="715"/>
      <c r="N26" s="618"/>
      <c r="O26" s="619"/>
      <c r="P26" s="78"/>
      <c r="Q26" s="1013"/>
      <c r="R26" s="1013"/>
      <c r="S26" s="1013"/>
      <c r="T26" s="1013"/>
      <c r="U26" s="1013"/>
      <c r="V26" s="1013"/>
      <c r="W26" s="1013"/>
      <c r="X26" s="1013"/>
      <c r="Y26" s="54"/>
      <c r="AC26"/>
      <c r="AD26"/>
      <c r="AE26"/>
      <c r="AF26"/>
      <c r="AG26"/>
      <c r="AH26"/>
      <c r="AI26"/>
      <c r="AJ26"/>
      <c r="AK26"/>
      <c r="AL26"/>
      <c r="AM26"/>
      <c r="AN26"/>
      <c r="AO26"/>
      <c r="AP26"/>
      <c r="AQ26"/>
      <c r="AR26"/>
      <c r="AS26"/>
      <c r="AT26"/>
      <c r="AU26"/>
      <c r="AV26"/>
      <c r="AW26"/>
      <c r="AX26"/>
      <c r="AY26"/>
      <c r="AZ26"/>
    </row>
    <row r="27" spans="2:52" ht="18" customHeight="1" thickBot="1" x14ac:dyDescent="0.25">
      <c r="B27" s="54"/>
      <c r="C27" s="747"/>
      <c r="D27" s="689" t="s">
        <v>168</v>
      </c>
      <c r="E27" s="690"/>
      <c r="F27" s="691"/>
      <c r="G27" s="620" t="str">
        <f>IF($G$22=0,"Ocular df ?","")</f>
        <v/>
      </c>
      <c r="H27" s="621"/>
      <c r="I27" s="622"/>
      <c r="J27" s="650">
        <f>$J$25/SQRT(($C$45*$D$45*10^(-3))^2/$G$52+($C$46*$D$46*10^(-3))^2/$G$52)</f>
        <v>677.33333333333337</v>
      </c>
      <c r="K27" s="651"/>
      <c r="L27" s="652"/>
      <c r="M27" s="743">
        <f>$M$25/SQRT(($C$45*$D$45*10^(-3))^2/$G$52+($C$46*$D$46*10^(-3))^2/$G$52)</f>
        <v>3522.1333333333332</v>
      </c>
      <c r="N27" s="744"/>
      <c r="O27" s="745"/>
      <c r="P27" s="79"/>
      <c r="Q27" s="1014"/>
      <c r="R27" s="1014"/>
      <c r="S27" s="1014"/>
      <c r="T27" s="1014"/>
      <c r="U27" s="1014"/>
      <c r="V27" s="1014"/>
      <c r="W27" s="1014"/>
      <c r="X27" s="1014"/>
      <c r="Y27" s="54"/>
    </row>
    <row r="28" spans="2:52" ht="18" customHeight="1" x14ac:dyDescent="0.2">
      <c r="B28" s="54"/>
      <c r="C28" s="717" t="s">
        <v>237</v>
      </c>
      <c r="D28" s="718"/>
      <c r="E28" s="718"/>
      <c r="F28" s="719"/>
      <c r="G28" s="716">
        <f>IF($G$27="Ocular df ?","-",IF($G$22=0,"-",($G$9/$G$26)))</f>
        <v>0.625</v>
      </c>
      <c r="H28" s="716"/>
      <c r="I28" s="716"/>
      <c r="J28" s="712">
        <f>(J$9/$J$27)</f>
        <v>0.3</v>
      </c>
      <c r="K28" s="713"/>
      <c r="L28" s="714"/>
      <c r="M28" s="617"/>
      <c r="N28" s="618"/>
      <c r="O28" s="619"/>
      <c r="P28" s="80"/>
      <c r="Q28" s="547" t="s">
        <v>235</v>
      </c>
      <c r="R28" s="1022"/>
      <c r="S28" s="1022"/>
      <c r="T28" s="1022"/>
      <c r="U28" s="1022"/>
      <c r="V28" s="1022"/>
      <c r="W28" s="1022"/>
      <c r="X28" s="1022"/>
      <c r="Y28" s="56"/>
      <c r="AC28" s="135"/>
      <c r="AD28" s="135"/>
      <c r="AE28" s="135"/>
    </row>
    <row r="29" spans="2:52" ht="18" customHeight="1" thickBot="1" x14ac:dyDescent="0.25">
      <c r="B29" s="54"/>
      <c r="C29" s="779" t="s">
        <v>238</v>
      </c>
      <c r="D29" s="780"/>
      <c r="E29" s="780"/>
      <c r="F29" s="781"/>
      <c r="G29" s="803">
        <f>IF($G$22=0,"-",IF($G$27="Ocular df ?","-",($G$23/$G$26*3600)))</f>
        <v>575.78740157480308</v>
      </c>
      <c r="H29" s="803"/>
      <c r="I29" s="803"/>
      <c r="J29" s="661">
        <f>$G$23*3600/$J$27</f>
        <v>276.37795275590548</v>
      </c>
      <c r="K29" s="662"/>
      <c r="L29" s="663"/>
      <c r="M29" s="661">
        <f>$G$23*3600/$M$27</f>
        <v>53.1496062992126</v>
      </c>
      <c r="N29" s="662"/>
      <c r="O29" s="663"/>
      <c r="P29" s="81"/>
      <c r="Q29" s="1022"/>
      <c r="R29" s="1022"/>
      <c r="S29" s="1022"/>
      <c r="T29" s="1022"/>
      <c r="U29" s="1022"/>
      <c r="V29" s="1022"/>
      <c r="W29" s="1022"/>
      <c r="X29" s="1022"/>
      <c r="Y29" s="56"/>
      <c r="AC29" s="133"/>
      <c r="AD29" s="133"/>
      <c r="AE29" s="133"/>
    </row>
    <row r="30" spans="2:52" ht="18" customHeight="1" thickBot="1" x14ac:dyDescent="0.25">
      <c r="B30" s="54"/>
      <c r="C30" s="748" t="s">
        <v>1</v>
      </c>
      <c r="D30" s="501"/>
      <c r="E30" s="501"/>
      <c r="F30" s="749"/>
      <c r="G30" s="750">
        <f>206265/($G$9*$G$15)</f>
        <v>50.754183070866141</v>
      </c>
      <c r="H30" s="751"/>
      <c r="I30" s="752"/>
      <c r="J30" s="750">
        <f>206265/($J$9*$J$15)</f>
        <v>50.754183070866141</v>
      </c>
      <c r="K30" s="751"/>
      <c r="L30" s="751"/>
      <c r="M30" s="782">
        <f>206265/($M$9*$M$15)</f>
        <v>9.7604198213204114</v>
      </c>
      <c r="N30" s="783"/>
      <c r="O30" s="784"/>
      <c r="P30" s="81"/>
      <c r="Q30" s="1022"/>
      <c r="R30" s="1022"/>
      <c r="S30" s="1022"/>
      <c r="T30" s="1022"/>
      <c r="U30" s="1022"/>
      <c r="V30" s="1022"/>
      <c r="W30" s="1022"/>
      <c r="X30" s="1022"/>
      <c r="Y30" s="56"/>
      <c r="AC30" s="133"/>
      <c r="AD30" s="133"/>
      <c r="AE30" s="133"/>
    </row>
    <row r="31" spans="2:52" ht="17.25" customHeight="1" thickBot="1" x14ac:dyDescent="0.25">
      <c r="B31" s="54"/>
      <c r="C31" s="519" t="s">
        <v>194</v>
      </c>
      <c r="D31" s="520"/>
      <c r="E31" s="520"/>
      <c r="F31" s="520"/>
      <c r="G31" s="520"/>
      <c r="H31" s="520"/>
      <c r="I31" s="520"/>
      <c r="J31" s="520"/>
      <c r="K31" s="520"/>
      <c r="L31" s="520"/>
      <c r="M31" s="520"/>
      <c r="N31" s="520"/>
      <c r="O31" s="520"/>
      <c r="P31" s="54"/>
      <c r="Q31" s="1022"/>
      <c r="R31" s="1022"/>
      <c r="S31" s="1022"/>
      <c r="T31" s="1022"/>
      <c r="U31" s="1022"/>
      <c r="V31" s="1022"/>
      <c r="W31" s="1022"/>
      <c r="X31" s="1022"/>
      <c r="Y31" s="56"/>
      <c r="AC31" s="134"/>
      <c r="AD31" s="134"/>
      <c r="AE31" s="134"/>
    </row>
    <row r="32" spans="2:52" ht="18" customHeight="1" x14ac:dyDescent="0.2">
      <c r="B32" s="54"/>
      <c r="C32" s="799" t="s">
        <v>210</v>
      </c>
      <c r="D32" s="800"/>
      <c r="E32" s="603" t="s">
        <v>209</v>
      </c>
      <c r="F32" s="604"/>
      <c r="G32" s="785">
        <f>2.5+5*LOG($G$9)</f>
        <v>14.03961851805941</v>
      </c>
      <c r="H32" s="786"/>
      <c r="I32" s="787"/>
      <c r="J32" s="753" t="s">
        <v>211</v>
      </c>
      <c r="K32" s="754"/>
      <c r="L32" s="755"/>
      <c r="M32" s="644">
        <f>IF($M$20&gt;0,$G$32*$X$13/10,1.4*$G$32*$X$13/10)</f>
        <v>14.741599443962377</v>
      </c>
      <c r="N32" s="645"/>
      <c r="O32" s="646"/>
      <c r="P32" s="82"/>
      <c r="Q32" s="1022"/>
      <c r="R32" s="1022"/>
      <c r="S32" s="1022"/>
      <c r="T32" s="1022"/>
      <c r="U32" s="1022"/>
      <c r="V32" s="1022"/>
      <c r="W32" s="1022"/>
      <c r="X32" s="1022"/>
      <c r="Y32" s="56"/>
      <c r="AF32" s="128"/>
      <c r="AG32" s="128"/>
      <c r="AH32" s="128"/>
    </row>
    <row r="33" spans="2:25" ht="18" customHeight="1" thickBot="1" x14ac:dyDescent="0.25">
      <c r="B33" s="54"/>
      <c r="C33" s="801"/>
      <c r="D33" s="802"/>
      <c r="E33" s="607" t="s">
        <v>10</v>
      </c>
      <c r="F33" s="608"/>
      <c r="G33" s="734">
        <f>$G$32*1.2</f>
        <v>16.84754222167129</v>
      </c>
      <c r="H33" s="735"/>
      <c r="I33" s="736"/>
      <c r="J33" s="756"/>
      <c r="K33" s="757"/>
      <c r="L33" s="758"/>
      <c r="M33" s="664">
        <f>$M$32*1.5</f>
        <v>22.112399165943565</v>
      </c>
      <c r="N33" s="665"/>
      <c r="O33" s="666"/>
      <c r="P33" s="82"/>
      <c r="Q33" s="1022"/>
      <c r="R33" s="1022"/>
      <c r="S33" s="1022"/>
      <c r="T33" s="1022"/>
      <c r="U33" s="1022"/>
      <c r="V33" s="1022"/>
      <c r="W33" s="1022"/>
      <c r="X33" s="1022"/>
      <c r="Y33" s="56"/>
    </row>
    <row r="34" spans="2:25" ht="15" customHeight="1" thickBot="1" x14ac:dyDescent="0.25">
      <c r="B34" s="54"/>
      <c r="C34" s="862" t="s">
        <v>72</v>
      </c>
      <c r="D34" s="862"/>
      <c r="E34" s="862"/>
      <c r="F34" s="862"/>
      <c r="G34" s="793" t="s">
        <v>71</v>
      </c>
      <c r="H34" s="793"/>
      <c r="I34" s="793"/>
      <c r="J34" s="605" t="s">
        <v>73</v>
      </c>
      <c r="K34" s="605"/>
      <c r="L34" s="605"/>
      <c r="M34" s="605"/>
      <c r="N34" s="606"/>
      <c r="O34" s="606"/>
      <c r="P34" s="83"/>
      <c r="Q34" s="1022"/>
      <c r="R34" s="1022"/>
      <c r="S34" s="1022"/>
      <c r="T34" s="1022"/>
      <c r="U34" s="1022"/>
      <c r="V34" s="1022"/>
      <c r="W34" s="1022"/>
      <c r="X34" s="1022"/>
      <c r="Y34" s="56"/>
    </row>
    <row r="35" spans="2:25" ht="18" customHeight="1" thickBot="1" x14ac:dyDescent="0.25">
      <c r="B35" s="84">
        <v>1</v>
      </c>
      <c r="C35" s="867" t="s">
        <v>185</v>
      </c>
      <c r="D35" s="868"/>
      <c r="E35" s="132"/>
      <c r="F35" s="411">
        <v>0.95</v>
      </c>
      <c r="G35" s="788" t="s">
        <v>319</v>
      </c>
      <c r="H35" s="789"/>
      <c r="I35" s="789"/>
      <c r="J35" s="789"/>
      <c r="K35" s="789"/>
      <c r="L35" s="789"/>
      <c r="M35" s="789"/>
      <c r="N35" s="789"/>
      <c r="O35" s="790"/>
      <c r="P35" s="85"/>
      <c r="Q35" s="616" t="s">
        <v>181</v>
      </c>
      <c r="R35" s="616"/>
      <c r="S35" s="796" t="s">
        <v>151</v>
      </c>
      <c r="T35" s="796"/>
      <c r="U35" s="796"/>
      <c r="V35" s="796"/>
      <c r="W35" s="796"/>
      <c r="X35" s="796"/>
      <c r="Y35" s="56"/>
    </row>
    <row r="36" spans="2:25" ht="18" customHeight="1" thickBot="1" x14ac:dyDescent="0.3">
      <c r="B36" s="129"/>
      <c r="C36" s="639" t="s">
        <v>321</v>
      </c>
      <c r="D36" s="640"/>
      <c r="E36" s="640"/>
      <c r="F36" s="640"/>
      <c r="G36" s="640"/>
      <c r="H36" s="640"/>
      <c r="I36" s="640"/>
      <c r="J36" s="640"/>
      <c r="K36" s="640"/>
      <c r="L36" s="640"/>
      <c r="M36" s="640"/>
      <c r="N36" s="640"/>
      <c r="O36" s="364">
        <f>IF(Q9="MANCHAS EN SOL",W9,"±  -26,75")</f>
        <v>-26.72</v>
      </c>
      <c r="P36" s="85"/>
      <c r="Q36" s="762" t="s">
        <v>268</v>
      </c>
      <c r="R36" s="763"/>
      <c r="S36" s="763"/>
      <c r="T36" s="763"/>
      <c r="U36" s="763"/>
      <c r="V36" s="763"/>
      <c r="W36" s="763"/>
      <c r="X36" s="763"/>
      <c r="Y36" s="56"/>
    </row>
    <row r="37" spans="2:25" ht="18" customHeight="1" x14ac:dyDescent="0.2">
      <c r="B37" s="129"/>
      <c r="C37" s="776" t="s">
        <v>280</v>
      </c>
      <c r="D37" s="777"/>
      <c r="E37" s="777"/>
      <c r="F37" s="777"/>
      <c r="G37" s="777"/>
      <c r="H37" s="777"/>
      <c r="I37" s="777"/>
      <c r="J37" s="777"/>
      <c r="K37" s="777"/>
      <c r="L37" s="777"/>
      <c r="M37" s="777"/>
      <c r="N37" s="777"/>
      <c r="O37" s="778"/>
      <c r="P37" s="85"/>
      <c r="Q37" s="771" t="s">
        <v>301</v>
      </c>
      <c r="R37" s="772"/>
      <c r="S37" s="772"/>
      <c r="T37" s="772"/>
      <c r="U37" s="772"/>
      <c r="V37" s="772"/>
      <c r="W37" s="773"/>
      <c r="X37" s="344">
        <v>6310</v>
      </c>
      <c r="Y37" s="56"/>
    </row>
    <row r="38" spans="2:25" ht="18" customHeight="1" thickBot="1" x14ac:dyDescent="0.3">
      <c r="B38" s="129"/>
      <c r="C38" s="588" t="s">
        <v>320</v>
      </c>
      <c r="D38" s="589"/>
      <c r="E38" s="589"/>
      <c r="F38" s="589"/>
      <c r="G38" s="589"/>
      <c r="H38" s="589"/>
      <c r="I38" s="589"/>
      <c r="J38" s="589"/>
      <c r="K38" s="797">
        <f>IF($O$38="-","-",LOG($O$38))</f>
        <v>3.8000293592441343</v>
      </c>
      <c r="L38" s="798"/>
      <c r="M38" s="774" t="s">
        <v>200</v>
      </c>
      <c r="N38" s="775"/>
      <c r="O38" s="362">
        <f>IF($W$9&lt;=-20,$X$37,"-")</f>
        <v>6310</v>
      </c>
      <c r="P38" s="85"/>
      <c r="Q38" s="772"/>
      <c r="R38" s="772"/>
      <c r="S38" s="772"/>
      <c r="T38" s="772"/>
      <c r="U38" s="772"/>
      <c r="V38" s="772"/>
      <c r="W38" s="773"/>
      <c r="X38" s="437">
        <f>LOG($X$37)</f>
        <v>3.8000293592441343</v>
      </c>
      <c r="Y38" s="98"/>
    </row>
    <row r="39" spans="2:25" ht="5.25" customHeight="1" x14ac:dyDescent="0.2">
      <c r="B39" s="129"/>
      <c r="C39" s="151"/>
      <c r="D39" s="151"/>
      <c r="E39" s="151"/>
      <c r="F39" s="151"/>
      <c r="G39" s="151"/>
      <c r="H39" s="151"/>
      <c r="I39" s="151"/>
      <c r="J39" s="151"/>
      <c r="K39" s="151"/>
      <c r="L39" s="151"/>
      <c r="M39" s="151"/>
      <c r="N39" s="151"/>
      <c r="O39" s="131"/>
      <c r="P39" s="85"/>
      <c r="Q39" s="152"/>
      <c r="R39" s="152"/>
      <c r="S39" s="152"/>
      <c r="T39" s="152"/>
      <c r="U39" s="152"/>
      <c r="V39" s="152"/>
      <c r="W39" s="152"/>
      <c r="X39" s="130"/>
      <c r="Y39" s="98"/>
    </row>
    <row r="40" spans="2:25" ht="25.15" customHeight="1" x14ac:dyDescent="0.2">
      <c r="B40" s="794" t="s">
        <v>267</v>
      </c>
      <c r="C40" s="795"/>
      <c r="D40" s="795"/>
      <c r="E40" s="795"/>
      <c r="F40" s="795"/>
      <c r="G40" s="795"/>
      <c r="H40" s="795"/>
      <c r="I40" s="795"/>
      <c r="J40" s="795"/>
      <c r="K40" s="795"/>
      <c r="L40" s="795"/>
      <c r="M40" s="795"/>
      <c r="N40" s="795"/>
      <c r="O40" s="795"/>
      <c r="P40" s="795"/>
      <c r="Q40" s="795"/>
      <c r="R40" s="795"/>
      <c r="S40" s="795"/>
      <c r="T40" s="795"/>
      <c r="U40" s="795"/>
      <c r="V40" s="795"/>
      <c r="W40" s="795"/>
      <c r="X40" s="795"/>
      <c r="Y40" s="795"/>
    </row>
    <row r="41" spans="2:25" ht="5.25" customHeight="1" thickBot="1" x14ac:dyDescent="0.25">
      <c r="B41" s="54"/>
      <c r="C41" s="87"/>
      <c r="D41" s="88"/>
      <c r="E41" s="89"/>
      <c r="F41" s="90"/>
      <c r="G41" s="91"/>
      <c r="H41" s="91"/>
      <c r="I41" s="86"/>
      <c r="J41" s="86"/>
      <c r="K41" s="86"/>
      <c r="L41" s="86"/>
      <c r="M41" s="86"/>
      <c r="N41" s="86"/>
      <c r="O41" s="86"/>
      <c r="P41" s="86"/>
      <c r="Q41" s="92"/>
      <c r="R41" s="92"/>
      <c r="S41" s="92"/>
      <c r="T41" s="92"/>
      <c r="U41" s="92"/>
      <c r="V41" s="92"/>
      <c r="W41" s="92"/>
      <c r="X41" s="92"/>
      <c r="Y41" s="54"/>
    </row>
    <row r="42" spans="2:25" ht="30.2" customHeight="1" thickBot="1" x14ac:dyDescent="0.25">
      <c r="B42" s="93"/>
      <c r="C42" s="704" t="s">
        <v>325</v>
      </c>
      <c r="D42" s="705"/>
      <c r="E42" s="705"/>
      <c r="F42" s="705"/>
      <c r="G42" s="705"/>
      <c r="H42" s="705"/>
      <c r="I42" s="705"/>
      <c r="J42" s="705"/>
      <c r="K42" s="705"/>
      <c r="L42" s="705"/>
      <c r="M42" s="705"/>
      <c r="N42" s="705"/>
      <c r="O42" s="706"/>
      <c r="P42" s="94"/>
      <c r="Q42" s="704" t="s">
        <v>121</v>
      </c>
      <c r="R42" s="705"/>
      <c r="S42" s="705"/>
      <c r="T42" s="705"/>
      <c r="U42" s="705"/>
      <c r="V42" s="705"/>
      <c r="W42" s="705"/>
      <c r="X42" s="706"/>
      <c r="Y42" s="54"/>
    </row>
    <row r="43" spans="2:25" ht="20.45" customHeight="1" thickBot="1" x14ac:dyDescent="0.25">
      <c r="B43" s="54"/>
      <c r="C43" s="769" t="s">
        <v>106</v>
      </c>
      <c r="D43" s="866"/>
      <c r="E43" s="759" t="s">
        <v>348</v>
      </c>
      <c r="F43" s="896"/>
      <c r="G43" s="896"/>
      <c r="H43" s="896"/>
      <c r="I43" s="896"/>
      <c r="J43" s="896"/>
      <c r="K43" s="896"/>
      <c r="L43" s="896"/>
      <c r="M43" s="896"/>
      <c r="N43" s="896"/>
      <c r="O43" s="897"/>
      <c r="P43" s="86"/>
      <c r="Q43" s="769" t="s">
        <v>106</v>
      </c>
      <c r="R43" s="770"/>
      <c r="S43" s="759" t="s">
        <v>294</v>
      </c>
      <c r="T43" s="760"/>
      <c r="U43" s="760"/>
      <c r="V43" s="760"/>
      <c r="W43" s="760"/>
      <c r="X43" s="761"/>
      <c r="Y43" s="54"/>
    </row>
    <row r="44" spans="2:25" ht="20.45" customHeight="1" thickBot="1" x14ac:dyDescent="0.25">
      <c r="B44" s="54"/>
      <c r="C44" s="363" t="s">
        <v>283</v>
      </c>
      <c r="D44" s="903" t="s">
        <v>284</v>
      </c>
      <c r="E44" s="864"/>
      <c r="F44" s="864"/>
      <c r="G44" s="791" t="s">
        <v>105</v>
      </c>
      <c r="H44" s="791"/>
      <c r="I44" s="792"/>
      <c r="J44" s="863" t="s">
        <v>285</v>
      </c>
      <c r="K44" s="863"/>
      <c r="L44" s="864"/>
      <c r="M44" s="864"/>
      <c r="N44" s="864"/>
      <c r="O44" s="865"/>
      <c r="P44" s="86"/>
      <c r="Q44" s="120" t="s">
        <v>103</v>
      </c>
      <c r="R44" s="365" t="s">
        <v>284</v>
      </c>
      <c r="S44" s="892" t="s">
        <v>105</v>
      </c>
      <c r="T44" s="893"/>
      <c r="U44" s="766" t="s">
        <v>285</v>
      </c>
      <c r="V44" s="766"/>
      <c r="W44" s="767"/>
      <c r="X44" s="768"/>
      <c r="Y44" s="54"/>
    </row>
    <row r="45" spans="2:25" ht="18" customHeight="1" thickBot="1" x14ac:dyDescent="0.3">
      <c r="B45" s="54"/>
      <c r="C45" s="381">
        <f>IF($G$52=2,$J$45/2,$J$45)</f>
        <v>1280</v>
      </c>
      <c r="D45" s="647">
        <v>3.75</v>
      </c>
      <c r="E45" s="648"/>
      <c r="F45" s="649"/>
      <c r="G45" s="678">
        <f>($J$45*$D$45/1000)</f>
        <v>4.8</v>
      </c>
      <c r="H45" s="648"/>
      <c r="I45" s="679"/>
      <c r="J45" s="653">
        <v>1280</v>
      </c>
      <c r="K45" s="654"/>
      <c r="L45" s="655"/>
      <c r="M45" s="859" t="s">
        <v>198</v>
      </c>
      <c r="N45" s="860"/>
      <c r="O45" s="861"/>
      <c r="P45" s="86"/>
      <c r="Q45" s="383">
        <f>U45</f>
        <v>3326</v>
      </c>
      <c r="R45" s="207">
        <v>5.4</v>
      </c>
      <c r="S45" s="702">
        <f>$U$45*$R$45/1000</f>
        <v>17.9604</v>
      </c>
      <c r="T45" s="703"/>
      <c r="U45" s="707">
        <v>3326</v>
      </c>
      <c r="V45" s="708"/>
      <c r="W45" s="336" t="s">
        <v>160</v>
      </c>
      <c r="X45" s="335"/>
      <c r="Y45" s="54"/>
    </row>
    <row r="46" spans="2:25" ht="18" customHeight="1" thickBot="1" x14ac:dyDescent="0.3">
      <c r="B46" s="54"/>
      <c r="C46" s="384">
        <f>IF($G$52=2,J46/2,J46)</f>
        <v>960</v>
      </c>
      <c r="D46" s="898">
        <f>D45</f>
        <v>3.75</v>
      </c>
      <c r="E46" s="474"/>
      <c r="F46" s="899"/>
      <c r="G46" s="473">
        <f>($J$46*$D$46/1000)</f>
        <v>3.6</v>
      </c>
      <c r="H46" s="474"/>
      <c r="I46" s="475"/>
      <c r="J46" s="804">
        <v>960</v>
      </c>
      <c r="K46" s="805"/>
      <c r="L46" s="806"/>
      <c r="M46" s="456">
        <f>(SQRT($G$45^2+$G$46^2))</f>
        <v>6</v>
      </c>
      <c r="N46" s="457"/>
      <c r="O46" s="458"/>
      <c r="P46" s="86"/>
      <c r="Q46" s="382">
        <f>U46</f>
        <v>2504</v>
      </c>
      <c r="R46" s="208">
        <f>$R$45</f>
        <v>5.4</v>
      </c>
      <c r="S46" s="702">
        <f>$U$46*$R$46/1000</f>
        <v>13.521600000000001</v>
      </c>
      <c r="T46" s="703"/>
      <c r="U46" s="764">
        <v>2504</v>
      </c>
      <c r="V46" s="765"/>
      <c r="W46" s="456">
        <f>SQRT($S$45^2+$S$46^2)</f>
        <v>22.481317459615219</v>
      </c>
      <c r="X46" s="701"/>
      <c r="Y46" s="54"/>
    </row>
    <row r="47" spans="2:25" ht="5.25" customHeight="1" x14ac:dyDescent="0.2">
      <c r="B47" s="56"/>
      <c r="C47" s="56"/>
      <c r="D47" s="56"/>
      <c r="E47" s="56"/>
      <c r="F47" s="56"/>
      <c r="G47" s="56"/>
      <c r="H47" s="56"/>
      <c r="I47" s="56"/>
      <c r="J47" s="56"/>
      <c r="K47" s="56"/>
      <c r="L47" s="56"/>
      <c r="M47" s="56"/>
      <c r="N47" s="56"/>
      <c r="O47" s="86"/>
      <c r="P47" s="86"/>
      <c r="Q47" s="56"/>
      <c r="R47" s="56"/>
      <c r="S47" s="56"/>
      <c r="T47" s="56"/>
      <c r="U47" s="56"/>
      <c r="V47" s="56"/>
      <c r="W47" s="56"/>
      <c r="X47" s="56"/>
      <c r="Y47" s="56"/>
    </row>
    <row r="48" spans="2:25" ht="5.25" customHeight="1" x14ac:dyDescent="0.2">
      <c r="B48" s="95"/>
      <c r="C48" s="359"/>
      <c r="D48" s="360" t="s">
        <v>281</v>
      </c>
      <c r="E48" s="361"/>
      <c r="F48" s="360"/>
      <c r="G48" s="96"/>
      <c r="H48" s="96"/>
      <c r="I48" s="96"/>
      <c r="J48" s="96"/>
      <c r="K48" s="150"/>
      <c r="L48" s="150"/>
      <c r="M48" s="96"/>
      <c r="N48" s="95"/>
      <c r="O48" s="124"/>
      <c r="P48" s="125"/>
      <c r="Q48" s="126"/>
      <c r="R48" s="125"/>
      <c r="S48" s="125"/>
      <c r="T48" s="125"/>
      <c r="U48" s="125"/>
      <c r="V48" s="127"/>
      <c r="W48" s="337">
        <f>INT(IF($W$9&gt;14,"",($T$58*$V$58)))</f>
        <v>480</v>
      </c>
      <c r="X48" s="337">
        <f>INT(IF($J$54="B/N",($K$52*3.25),IF($J$54="RGB",($K$52),IF($J$54="L-RGB",($K$52)))))</f>
        <v>26</v>
      </c>
      <c r="Y48" s="97"/>
    </row>
    <row r="49" spans="2:31" ht="7.15" customHeight="1" thickBot="1" x14ac:dyDescent="0.25">
      <c r="B49" s="54"/>
      <c r="C49" s="54"/>
      <c r="D49" s="54"/>
      <c r="E49" s="54"/>
      <c r="F49" s="54"/>
      <c r="G49" s="98"/>
      <c r="H49" s="98"/>
      <c r="I49" s="98"/>
      <c r="J49" s="98"/>
      <c r="K49" s="98"/>
      <c r="L49" s="99"/>
      <c r="M49" s="99"/>
      <c r="N49" s="99"/>
      <c r="O49" s="100"/>
      <c r="P49" s="100"/>
      <c r="Q49" s="101"/>
      <c r="R49" s="101"/>
      <c r="S49" s="101"/>
      <c r="T49" s="101"/>
      <c r="U49" s="101"/>
      <c r="V49" s="101"/>
      <c r="W49" s="101"/>
      <c r="X49" s="101"/>
      <c r="Y49" s="54"/>
    </row>
    <row r="50" spans="2:31" ht="20.45" customHeight="1" thickBot="1" x14ac:dyDescent="0.25">
      <c r="B50" s="54"/>
      <c r="C50" s="476" t="s">
        <v>324</v>
      </c>
      <c r="D50" s="477"/>
      <c r="E50" s="477"/>
      <c r="F50" s="477"/>
      <c r="G50" s="477"/>
      <c r="H50" s="477"/>
      <c r="I50" s="477"/>
      <c r="J50" s="477"/>
      <c r="K50" s="477"/>
      <c r="L50" s="477"/>
      <c r="M50" s="477"/>
      <c r="N50" s="477"/>
      <c r="O50" s="478"/>
      <c r="P50" s="136"/>
      <c r="Q50" s="594" t="s">
        <v>309</v>
      </c>
      <c r="R50" s="595"/>
      <c r="S50" s="595"/>
      <c r="T50" s="595"/>
      <c r="U50" s="595"/>
      <c r="V50" s="596"/>
      <c r="W50" s="596"/>
      <c r="X50" s="597"/>
      <c r="Y50" s="102"/>
    </row>
    <row r="51" spans="2:31" ht="7.15" customHeight="1" thickBot="1" x14ac:dyDescent="0.25">
      <c r="B51" s="54"/>
      <c r="C51" s="66"/>
      <c r="D51" s="66"/>
      <c r="E51" s="66"/>
      <c r="F51" s="66"/>
      <c r="G51" s="98"/>
      <c r="H51" s="98"/>
      <c r="I51" s="98"/>
      <c r="J51" s="98"/>
      <c r="K51" s="98"/>
      <c r="L51" s="102"/>
      <c r="M51" s="102"/>
      <c r="N51" s="102"/>
      <c r="O51" s="102"/>
      <c r="P51" s="102"/>
      <c r="Q51" s="103"/>
      <c r="R51" s="103"/>
      <c r="S51" s="103"/>
      <c r="T51" s="103"/>
      <c r="U51" s="103"/>
      <c r="V51" s="103"/>
      <c r="W51" s="99"/>
      <c r="X51" s="99"/>
      <c r="Y51" s="99"/>
    </row>
    <row r="52" spans="2:31" ht="18.95" customHeight="1" thickTop="1" thickBot="1" x14ac:dyDescent="0.25">
      <c r="B52" s="54"/>
      <c r="C52" s="889" t="s">
        <v>218</v>
      </c>
      <c r="D52" s="890"/>
      <c r="E52" s="890"/>
      <c r="F52" s="891"/>
      <c r="G52" s="396">
        <v>1</v>
      </c>
      <c r="H52" s="446">
        <f>$G$52</f>
        <v>1</v>
      </c>
      <c r="I52" s="857">
        <f>INT($K$52*$M$52*$O$52)</f>
        <v>1601</v>
      </c>
      <c r="J52" s="858"/>
      <c r="K52" s="887">
        <f>IF($J$54="B/N",$M$55,SUM($J$55:$O$55))</f>
        <v>8</v>
      </c>
      <c r="L52" s="888"/>
      <c r="M52" s="902">
        <f>INT($G$55)+0.014</f>
        <v>20.013999999999999</v>
      </c>
      <c r="N52" s="902"/>
      <c r="O52" s="401">
        <f>($G$58)</f>
        <v>10</v>
      </c>
      <c r="P52" s="54"/>
      <c r="Q52" s="1008" t="s">
        <v>167</v>
      </c>
      <c r="R52" s="1009"/>
      <c r="S52" s="1009"/>
      <c r="T52" s="1009"/>
      <c r="U52" s="1009"/>
      <c r="V52" s="1009"/>
      <c r="W52" s="1009"/>
      <c r="X52" s="1009"/>
      <c r="Y52" s="48"/>
    </row>
    <row r="53" spans="2:31" ht="18.95" customHeight="1" thickTop="1" thickBot="1" x14ac:dyDescent="0.25">
      <c r="B53" s="54"/>
      <c r="C53" s="884" t="s">
        <v>217</v>
      </c>
      <c r="D53" s="885"/>
      <c r="E53" s="885"/>
      <c r="F53" s="886"/>
      <c r="G53" s="397"/>
      <c r="H53" s="855"/>
      <c r="I53" s="856"/>
      <c r="J53" s="894">
        <f>SQRT(H66)</f>
        <v>3.5355339059327378</v>
      </c>
      <c r="K53" s="586"/>
      <c r="L53" s="895"/>
      <c r="M53" s="585" t="str">
        <f>IF(W9="""","Magnitud de Objeto","")</f>
        <v/>
      </c>
      <c r="N53" s="586"/>
      <c r="O53" s="587"/>
      <c r="P53" s="54"/>
      <c r="Q53" s="1009"/>
      <c r="R53" s="1009"/>
      <c r="S53" s="1009"/>
      <c r="T53" s="1009"/>
      <c r="U53" s="1009"/>
      <c r="V53" s="1009"/>
      <c r="W53" s="1009"/>
      <c r="X53" s="1009"/>
      <c r="Y53" s="48"/>
      <c r="AB53"/>
    </row>
    <row r="54" spans="2:31" ht="18" customHeight="1" thickBot="1" x14ac:dyDescent="0.3">
      <c r="B54" s="54"/>
      <c r="C54" s="453" t="s">
        <v>189</v>
      </c>
      <c r="D54" s="454"/>
      <c r="E54" s="454"/>
      <c r="F54" s="454"/>
      <c r="G54" s="454"/>
      <c r="H54" s="454"/>
      <c r="I54" s="455"/>
      <c r="J54" s="600" t="s">
        <v>338</v>
      </c>
      <c r="K54" s="601"/>
      <c r="L54" s="601"/>
      <c r="M54" s="601"/>
      <c r="N54" s="601"/>
      <c r="O54" s="602"/>
      <c r="P54" s="56"/>
      <c r="Q54" s="598" t="s">
        <v>196</v>
      </c>
      <c r="R54" s="599"/>
      <c r="S54" s="599"/>
      <c r="T54" s="599"/>
      <c r="U54" s="599"/>
      <c r="V54" s="599"/>
      <c r="W54" s="599"/>
      <c r="X54" s="599"/>
      <c r="Y54" s="104"/>
      <c r="AA54" s="438"/>
      <c r="AB54"/>
    </row>
    <row r="55" spans="2:31" ht="20.100000000000001" customHeight="1" thickBot="1" x14ac:dyDescent="0.25">
      <c r="B55" s="54"/>
      <c r="C55" s="451" t="s">
        <v>279</v>
      </c>
      <c r="D55" s="452"/>
      <c r="E55" s="149"/>
      <c r="F55" s="403"/>
      <c r="G55" s="592">
        <f>IF($F$55=0,IF($W$9&lt;=-20,20,IF($W$9&lt;=-10,5,IF($W$9&lt;=-2,30,IF($W$9&lt;=0,15,IF($W$9&lt;=2,60,IF($W$9&lt;=6,180,IF($W$9&lt;9,300,IF($W$9&gt;9,600)))))))),$F$55)</f>
        <v>20</v>
      </c>
      <c r="H55" s="593"/>
      <c r="I55" s="593"/>
      <c r="J55" s="205" t="s">
        <v>338</v>
      </c>
      <c r="K55" s="590">
        <f>IF($J$54="B/N",0,$M$55/2)</f>
        <v>0</v>
      </c>
      <c r="L55" s="591"/>
      <c r="M55" s="874">
        <f>INT(IF($W$9&lt;=-20,8,IF($W$9&lt;=-10,23,IF($W$9&lt;=-2,4,IF($W$9&lt;=2,2,IF($W$9&lt;=4,9,IF($W$9&lt;=6,14,IF($W$9&gt;=6,20)))))/IF($O$38="-",$F$35,$F$35*1/LOG($O$38)/2))))</f>
        <v>8</v>
      </c>
      <c r="N55" s="875"/>
      <c r="O55" s="206">
        <f>IF($J$54="B/N",0,$M$55*2)</f>
        <v>0</v>
      </c>
      <c r="P55" s="105"/>
      <c r="Q55" s="641" t="s">
        <v>310</v>
      </c>
      <c r="R55" s="642"/>
      <c r="S55" s="642"/>
      <c r="T55" s="642"/>
      <c r="U55" s="642"/>
      <c r="V55" s="642"/>
      <c r="W55" s="642"/>
      <c r="X55" s="643"/>
      <c r="Y55" s="106"/>
      <c r="AA55" s="406"/>
      <c r="AB55"/>
      <c r="AC55" s="408"/>
    </row>
    <row r="56" spans="2:31" s="119" customFormat="1" ht="5.25" customHeight="1" thickBot="1" x14ac:dyDescent="0.25">
      <c r="B56" s="115"/>
      <c r="C56" s="183"/>
      <c r="D56" s="137"/>
      <c r="E56" s="137"/>
      <c r="F56" s="402" t="s">
        <v>311</v>
      </c>
      <c r="G56" s="138">
        <v>2</v>
      </c>
      <c r="H56" s="138"/>
      <c r="I56" s="138"/>
      <c r="J56" s="328"/>
      <c r="K56" s="328"/>
      <c r="L56" s="329"/>
      <c r="M56" s="329"/>
      <c r="N56" s="329"/>
      <c r="O56" s="330"/>
      <c r="P56" s="116"/>
      <c r="Q56" s="117"/>
      <c r="R56" s="117"/>
      <c r="S56" s="117"/>
      <c r="T56" s="117"/>
      <c r="U56" s="117"/>
      <c r="V56" s="117"/>
      <c r="W56" s="117"/>
      <c r="X56" s="117"/>
      <c r="Y56" s="118"/>
    </row>
    <row r="57" spans="2:31" ht="18" customHeight="1" thickBot="1" x14ac:dyDescent="0.25">
      <c r="B57" s="54"/>
      <c r="C57" s="879" t="s">
        <v>208</v>
      </c>
      <c r="D57" s="880"/>
      <c r="E57" s="880"/>
      <c r="F57" s="881"/>
      <c r="G57" s="536" t="str">
        <f>IF($J$59=0.001,"Mag. Visual ?",IF(W9&gt;18,"Ojo magnitud",""))</f>
        <v/>
      </c>
      <c r="H57" s="537"/>
      <c r="I57" s="537"/>
      <c r="J57" s="533" t="s">
        <v>256</v>
      </c>
      <c r="K57" s="534"/>
      <c r="L57" s="535"/>
      <c r="M57" s="882" t="s">
        <v>257</v>
      </c>
      <c r="N57" s="534"/>
      <c r="O57" s="883"/>
      <c r="P57" s="85"/>
      <c r="Q57" s="870" t="s">
        <v>331</v>
      </c>
      <c r="R57" s="871"/>
      <c r="S57" s="871"/>
      <c r="T57" s="872"/>
      <c r="U57" s="873"/>
      <c r="V57" s="538">
        <v>120</v>
      </c>
      <c r="W57" s="539"/>
      <c r="X57" s="349" t="str">
        <f>IF($V$57&gt;0,"← Borrar",IF($G$55&gt;=180,"←  seg c/u",""))</f>
        <v>← Borrar</v>
      </c>
      <c r="Y57" s="107"/>
      <c r="AC57" s="70"/>
      <c r="AD57" s="70"/>
      <c r="AE57" s="70"/>
    </row>
    <row r="58" spans="2:31" ht="20.100000000000001" customHeight="1" thickBot="1" x14ac:dyDescent="0.25">
      <c r="B58" s="54"/>
      <c r="C58" s="459" t="s">
        <v>278</v>
      </c>
      <c r="D58" s="460"/>
      <c r="E58" s="398"/>
      <c r="F58" s="399"/>
      <c r="G58" s="527">
        <f>IF($F$58=0,INT(IF($W$9&lt;-20,10,IF($W$9&lt;0,15,IF($W$9&gt;0,30)))),$F$58)</f>
        <v>10</v>
      </c>
      <c r="H58" s="528"/>
      <c r="I58" s="528"/>
      <c r="J58" s="522" t="str">
        <f>IF(C45&gt;J45,"¡ojo! mayor fps","fps posibles")</f>
        <v>fps posibles</v>
      </c>
      <c r="K58" s="523"/>
      <c r="L58" s="524" t="s">
        <v>322</v>
      </c>
      <c r="M58" s="525"/>
      <c r="N58" s="525"/>
      <c r="O58" s="526"/>
      <c r="P58" s="153"/>
      <c r="Q58" s="912" t="s">
        <v>330</v>
      </c>
      <c r="R58" s="913"/>
      <c r="S58" s="914"/>
      <c r="T58" s="910">
        <f>IF($V$57=0,"",INT(IF($V$57&gt;0,($X$48*$M$52/$V$57),$X$48)))</f>
        <v>4</v>
      </c>
      <c r="U58" s="911"/>
      <c r="V58" s="540">
        <f>IF($V$57&gt;0,$V$57,"")</f>
        <v>120</v>
      </c>
      <c r="W58" s="540"/>
      <c r="X58" s="541"/>
      <c r="Y58" s="107"/>
      <c r="Z58" s="521"/>
      <c r="AA58" s="521"/>
      <c r="AB58" s="147"/>
      <c r="AC58" s="70"/>
      <c r="AD58" s="70"/>
      <c r="AE58" s="70"/>
    </row>
    <row r="59" spans="2:31" ht="18" customHeight="1" thickTop="1" thickBot="1" x14ac:dyDescent="0.25">
      <c r="B59" s="54"/>
      <c r="C59" s="915" t="s">
        <v>339</v>
      </c>
      <c r="D59" s="916"/>
      <c r="E59" s="916"/>
      <c r="F59" s="916"/>
      <c r="G59" s="916"/>
      <c r="H59" s="916"/>
      <c r="I59" s="916"/>
      <c r="J59" s="439">
        <f>$I$52/$G$58</f>
        <v>160.1</v>
      </c>
      <c r="K59" s="929">
        <f>INT($J$59/3600)</f>
        <v>0</v>
      </c>
      <c r="L59" s="929"/>
      <c r="M59" s="932">
        <f>INT((($J$59/3600)-INT($J$59/3600))*60)</f>
        <v>2</v>
      </c>
      <c r="N59" s="933"/>
      <c r="O59" s="400">
        <f>(((((($J$59/3600)-INT($J$59/3600))*60)-INT((($J$59/3600)-INT($J$59/3600))*60))*60))</f>
        <v>40.09999999999998</v>
      </c>
      <c r="P59" s="154"/>
      <c r="Q59" s="350" t="s">
        <v>120</v>
      </c>
      <c r="R59" s="934" t="s">
        <v>164</v>
      </c>
      <c r="S59" s="935"/>
      <c r="T59" s="930" t="str">
        <f>IF($W$9&gt;=6,1600,IF($W$9&gt;=2,800,IF($W$9&gt;=0,400,IF($W$9&lt;=0,"AUTO"))))</f>
        <v>AUTO</v>
      </c>
      <c r="U59" s="931"/>
      <c r="V59" s="354">
        <f>INT($W$48/3600)</f>
        <v>0</v>
      </c>
      <c r="W59" s="355">
        <f>INT((($W$48/3600)-INT($W$48/3600))*60)</f>
        <v>8</v>
      </c>
      <c r="X59" s="353">
        <f>(((((($W$48/3600)-INT($W$48/3600))*60)-INT((($W$48/3600)-INT($W$48/3600))*60))*60))</f>
        <v>0</v>
      </c>
      <c r="Y59" s="154"/>
      <c r="AA59" s="407"/>
      <c r="AB59" s="147"/>
      <c r="AC59" s="409"/>
      <c r="AD59" s="70"/>
      <c r="AE59" s="70"/>
    </row>
    <row r="60" spans="2:31" s="109" customFormat="1" ht="35.1" customHeight="1" thickBot="1" x14ac:dyDescent="0.25">
      <c r="B60" s="108"/>
      <c r="C60" s="928" t="s">
        <v>274</v>
      </c>
      <c r="D60" s="928"/>
      <c r="E60" s="928"/>
      <c r="F60" s="928"/>
      <c r="G60" s="928"/>
      <c r="H60" s="928"/>
      <c r="I60" s="928"/>
      <c r="J60" s="529" t="s">
        <v>89</v>
      </c>
      <c r="K60" s="529"/>
      <c r="L60" s="529"/>
      <c r="M60" s="529" t="s">
        <v>90</v>
      </c>
      <c r="N60" s="530"/>
      <c r="O60" s="530"/>
      <c r="P60" s="275"/>
      <c r="Q60" s="531" t="s">
        <v>274</v>
      </c>
      <c r="R60" s="532"/>
      <c r="S60" s="532"/>
      <c r="T60" s="532"/>
      <c r="U60" s="531" t="s">
        <v>89</v>
      </c>
      <c r="V60" s="531"/>
      <c r="W60" s="531" t="s">
        <v>90</v>
      </c>
      <c r="X60" s="531"/>
      <c r="Y60" s="108"/>
      <c r="AA60" s="146"/>
      <c r="AB60" s="148"/>
    </row>
    <row r="61" spans="2:31" ht="18" customHeight="1" x14ac:dyDescent="0.2">
      <c r="B61" s="54"/>
      <c r="C61" s="923" t="s">
        <v>199</v>
      </c>
      <c r="D61" s="924"/>
      <c r="E61" s="924"/>
      <c r="F61" s="924"/>
      <c r="G61" s="924"/>
      <c r="H61" s="924"/>
      <c r="I61" s="925"/>
      <c r="J61" s="351">
        <f>(($G$45*360*3600)/($J$25*2*PI()))/60</f>
        <v>4.0603308316357554</v>
      </c>
      <c r="K61" s="926">
        <f>(($G$46*360*3600)/($J$25*2*PI()))/60</f>
        <v>3.0452481237268163</v>
      </c>
      <c r="L61" s="927"/>
      <c r="M61" s="919">
        <f>(($G$45*360*3600)/($M$25*2*PI()))/60</f>
        <v>0.78083285223764531</v>
      </c>
      <c r="N61" s="920"/>
      <c r="O61" s="352">
        <f>(($G$46*360*3600)/($M$25*2*PI()))/60</f>
        <v>0.58562463917823393</v>
      </c>
      <c r="P61" s="276"/>
      <c r="Q61" s="921" t="s">
        <v>199</v>
      </c>
      <c r="R61" s="922"/>
      <c r="S61" s="922"/>
      <c r="T61" s="922"/>
      <c r="U61" s="377">
        <f>(($S$45*360*3600)/($J$25*2*PI()))/60</f>
        <v>15.192742889273086</v>
      </c>
      <c r="V61" s="378">
        <f>(($S$46*360*3600)/($J$25*2*PI()))/60</f>
        <v>11.437951952717922</v>
      </c>
      <c r="W61" s="379">
        <f>(($S$45*360*3600)/($M$25*2*PI()))/60</f>
        <v>2.9216813248602094</v>
      </c>
      <c r="X61" s="380">
        <f>(($S$46*360*3600)/($M$25*2*PI()))/60</f>
        <v>2.1996061447534472</v>
      </c>
      <c r="Y61" s="56"/>
    </row>
    <row r="62" spans="2:31" ht="18" customHeight="1" thickBot="1" x14ac:dyDescent="0.25">
      <c r="B62" s="54"/>
      <c r="C62" s="542" t="s">
        <v>170</v>
      </c>
      <c r="D62" s="543"/>
      <c r="E62" s="543"/>
      <c r="F62" s="543"/>
      <c r="G62" s="543"/>
      <c r="H62" s="543"/>
      <c r="I62" s="544"/>
      <c r="J62" s="943">
        <f>SQRT($J$61^2+$K$61^2)</f>
        <v>5.0754135395446944</v>
      </c>
      <c r="K62" s="944"/>
      <c r="L62" s="554"/>
      <c r="M62" s="553">
        <f>SQRT($M$61^2+$O$61^2)</f>
        <v>0.9760410652970567</v>
      </c>
      <c r="N62" s="554"/>
      <c r="O62" s="555"/>
      <c r="P62" s="276"/>
      <c r="Q62" s="550" t="s">
        <v>170</v>
      </c>
      <c r="R62" s="551"/>
      <c r="S62" s="551"/>
      <c r="T62" s="551"/>
      <c r="U62" s="552">
        <f>SQRT($U$61^2+$V$61^2)</f>
        <v>19.016997170222265</v>
      </c>
      <c r="V62" s="546"/>
      <c r="W62" s="545">
        <f>SQRT($W$61^2+$X$61^2)</f>
        <v>3.6571148404273597</v>
      </c>
      <c r="X62" s="546"/>
      <c r="Y62" s="56"/>
    </row>
    <row r="63" spans="2:31" ht="18" customHeight="1" thickBot="1" x14ac:dyDescent="0.25">
      <c r="B63" s="54"/>
      <c r="C63" s="562" t="s">
        <v>351</v>
      </c>
      <c r="D63" s="999"/>
      <c r="E63" s="999"/>
      <c r="F63" s="999"/>
      <c r="G63" s="999"/>
      <c r="H63" s="999"/>
      <c r="I63" s="1000"/>
      <c r="J63" s="1194">
        <f>100*(SQRT($Q$11^2+$R$11^2)*J25/206265)/$M$46</f>
        <v>77.579812377281641</v>
      </c>
      <c r="K63" s="572">
        <f>J63*M46/100</f>
        <v>4.6547887426368986</v>
      </c>
      <c r="L63" s="573"/>
      <c r="M63" s="574">
        <f>100*(SQRT($Q$11^2+$R$11^2)*M25/206265)/$M$46</f>
        <v>403.41502436186448</v>
      </c>
      <c r="N63" s="575"/>
      <c r="O63" s="450">
        <f>M63*M46/100</f>
        <v>24.20490146171187</v>
      </c>
      <c r="P63" s="276"/>
      <c r="Q63" s="562" t="s">
        <v>351</v>
      </c>
      <c r="R63" s="999"/>
      <c r="S63" s="999"/>
      <c r="T63" s="1000"/>
      <c r="U63" s="448">
        <f>100*IF($V$57=0,"",(SQRT($Q$11^2+$R$11^2)*$J$25/206265)/$W$46)</f>
        <v>20.70514217415694</v>
      </c>
      <c r="V63" s="450">
        <f>U63*W46/100</f>
        <v>4.6547887426368986</v>
      </c>
      <c r="W63" s="1197">
        <f>100*IF($V$57=0,"",(SQRT($Q$11^2+$R$11^2)*$M$25/206265)/$W$46)</f>
        <v>107.66673930561608</v>
      </c>
      <c r="X63" s="449">
        <f>W63*W46/100</f>
        <v>24.20490146171187</v>
      </c>
      <c r="Y63" s="56"/>
    </row>
    <row r="64" spans="2:31" ht="18" customHeight="1" thickBot="1" x14ac:dyDescent="0.25">
      <c r="B64" s="54"/>
      <c r="C64" s="562" t="s">
        <v>353</v>
      </c>
      <c r="D64" s="1198"/>
      <c r="E64" s="1198"/>
      <c r="F64" s="1198"/>
      <c r="G64" s="1198"/>
      <c r="H64" s="1198"/>
      <c r="I64" s="1198"/>
      <c r="J64" s="1198"/>
      <c r="K64" s="1198"/>
      <c r="L64" s="1198"/>
      <c r="M64" s="1198"/>
      <c r="N64" s="1198"/>
      <c r="O64" s="643"/>
      <c r="P64" s="276"/>
      <c r="Q64" s="562" t="s">
        <v>353</v>
      </c>
      <c r="R64" s="999"/>
      <c r="S64" s="999"/>
      <c r="T64" s="999"/>
      <c r="U64" s="999"/>
      <c r="V64" s="999"/>
      <c r="W64" s="999"/>
      <c r="X64" s="1199"/>
      <c r="Y64" s="56"/>
    </row>
    <row r="65" spans="2:31" ht="5.25" customHeight="1" thickBot="1" x14ac:dyDescent="0.25">
      <c r="B65" s="54"/>
      <c r="C65" s="413"/>
      <c r="D65" s="413"/>
      <c r="E65" s="413"/>
      <c r="F65" s="413"/>
      <c r="G65" s="413"/>
      <c r="H65" s="413"/>
      <c r="I65" s="413"/>
      <c r="J65" s="447"/>
      <c r="K65" s="414"/>
      <c r="L65" s="414"/>
      <c r="M65" s="415"/>
      <c r="N65" s="414"/>
      <c r="O65" s="414"/>
      <c r="P65" s="416"/>
      <c r="Q65" s="413"/>
      <c r="R65" s="413"/>
      <c r="S65" s="413"/>
      <c r="T65" s="413"/>
      <c r="U65" s="415"/>
      <c r="V65" s="414"/>
      <c r="W65" s="415"/>
      <c r="X65" s="414"/>
      <c r="Y65" s="417"/>
      <c r="Z65" s="347"/>
      <c r="AA65" s="385"/>
      <c r="AB65" s="385"/>
      <c r="AC65" s="386"/>
      <c r="AD65" s="385"/>
      <c r="AE65" s="385"/>
    </row>
    <row r="66" spans="2:31" ht="18" customHeight="1" thickTop="1" thickBot="1" x14ac:dyDescent="0.25">
      <c r="B66" s="54"/>
      <c r="C66" s="936" t="s">
        <v>349</v>
      </c>
      <c r="D66" s="937"/>
      <c r="E66" s="937"/>
      <c r="F66" s="937"/>
      <c r="G66" s="937"/>
      <c r="H66" s="917">
        <f>$G$22</f>
        <v>12.5</v>
      </c>
      <c r="I66" s="918"/>
      <c r="J66" s="570">
        <f>((TAN($Q$11/3600)*$G$15)/$H$66)*10^2*1.7</f>
        <v>14.293134230679403</v>
      </c>
      <c r="K66" s="570"/>
      <c r="L66" s="571"/>
      <c r="M66" s="876" t="s">
        <v>350</v>
      </c>
      <c r="N66" s="877"/>
      <c r="O66" s="878"/>
      <c r="P66" s="570">
        <f>((TAN($Q$11/3600)*$G$15)/$D$45)*10^2*1.7</f>
        <v>47.643780768931336</v>
      </c>
      <c r="Q66" s="571"/>
      <c r="R66" s="416"/>
      <c r="S66" s="416"/>
      <c r="T66" s="416"/>
      <c r="U66" s="416"/>
      <c r="V66" s="416"/>
      <c r="W66" s="416"/>
      <c r="X66" s="416"/>
      <c r="Y66" s="416"/>
      <c r="AB66" s="348"/>
      <c r="AC66" s="348"/>
    </row>
    <row r="67" spans="2:31" ht="5.25" customHeight="1" thickTop="1" x14ac:dyDescent="0.2">
      <c r="B67" s="418"/>
      <c r="C67" s="419"/>
      <c r="D67" s="419"/>
      <c r="E67" s="419"/>
      <c r="F67" s="419"/>
      <c r="G67" s="419"/>
      <c r="H67" s="420"/>
      <c r="I67" s="420"/>
      <c r="J67" s="421"/>
      <c r="K67" s="422"/>
      <c r="L67" s="422"/>
      <c r="M67" s="423"/>
      <c r="N67" s="424"/>
      <c r="O67" s="424"/>
      <c r="P67" s="416"/>
      <c r="Q67" s="416"/>
      <c r="R67" s="416"/>
      <c r="S67" s="416"/>
      <c r="T67" s="416"/>
      <c r="U67" s="416"/>
      <c r="V67" s="416"/>
      <c r="W67" s="416"/>
      <c r="X67" s="416"/>
      <c r="Y67" s="416"/>
      <c r="AB67" s="348"/>
      <c r="AC67" s="348"/>
    </row>
    <row r="68" spans="2:31" ht="20.100000000000001" customHeight="1" x14ac:dyDescent="0.2">
      <c r="B68" s="549" t="s">
        <v>149</v>
      </c>
      <c r="C68" s="549"/>
      <c r="D68" s="549"/>
      <c r="E68" s="549"/>
      <c r="F68" s="549"/>
      <c r="G68" s="549"/>
      <c r="H68" s="549"/>
      <c r="I68" s="549"/>
      <c r="J68" s="549"/>
      <c r="K68" s="549"/>
      <c r="L68" s="549"/>
      <c r="M68" s="549"/>
      <c r="N68" s="549"/>
      <c r="O68" s="549"/>
      <c r="P68" s="549"/>
      <c r="Q68" s="549"/>
      <c r="R68" s="549"/>
      <c r="S68" s="549"/>
      <c r="T68" s="549"/>
      <c r="U68" s="549"/>
      <c r="V68" s="549"/>
      <c r="W68" s="549"/>
      <c r="X68" s="549"/>
      <c r="Y68" s="549"/>
    </row>
    <row r="69" spans="2:31" s="112" customFormat="1" ht="15" customHeight="1" x14ac:dyDescent="0.2">
      <c r="B69" s="110"/>
      <c r="C69" s="569" t="s">
        <v>242</v>
      </c>
      <c r="D69" s="569"/>
      <c r="E69" s="569"/>
      <c r="F69" s="569"/>
      <c r="G69" s="569"/>
      <c r="H69" s="569"/>
      <c r="I69" s="569"/>
      <c r="J69" s="569"/>
      <c r="K69" s="569"/>
      <c r="L69" s="569"/>
      <c r="M69" s="569"/>
      <c r="N69" s="569"/>
      <c r="O69" s="569"/>
      <c r="P69" s="277"/>
      <c r="Q69" s="547" t="s">
        <v>271</v>
      </c>
      <c r="R69" s="548"/>
      <c r="S69" s="548"/>
      <c r="T69" s="548"/>
      <c r="U69" s="548"/>
      <c r="V69" s="548"/>
      <c r="W69" s="548"/>
      <c r="X69" s="548"/>
      <c r="Y69" s="111"/>
    </row>
    <row r="70" spans="2:31" s="112" customFormat="1" ht="15" customHeight="1" x14ac:dyDescent="0.2">
      <c r="B70" s="110"/>
      <c r="C70" s="569"/>
      <c r="D70" s="569"/>
      <c r="E70" s="569"/>
      <c r="F70" s="569"/>
      <c r="G70" s="569"/>
      <c r="H70" s="569"/>
      <c r="I70" s="569"/>
      <c r="J70" s="569"/>
      <c r="K70" s="569"/>
      <c r="L70" s="569"/>
      <c r="M70" s="569"/>
      <c r="N70" s="569"/>
      <c r="O70" s="569"/>
      <c r="P70" s="277"/>
      <c r="Q70" s="548"/>
      <c r="R70" s="548"/>
      <c r="S70" s="548"/>
      <c r="T70" s="548"/>
      <c r="U70" s="548"/>
      <c r="V70" s="548"/>
      <c r="W70" s="548"/>
      <c r="X70" s="548"/>
      <c r="Y70" s="111"/>
    </row>
    <row r="71" spans="2:31" s="112" customFormat="1" ht="15" customHeight="1" x14ac:dyDescent="0.2">
      <c r="B71" s="110"/>
      <c r="C71" s="569"/>
      <c r="D71" s="569"/>
      <c r="E71" s="569"/>
      <c r="F71" s="569"/>
      <c r="G71" s="569"/>
      <c r="H71" s="569"/>
      <c r="I71" s="569"/>
      <c r="J71" s="569"/>
      <c r="K71" s="569"/>
      <c r="L71" s="569"/>
      <c r="M71" s="569"/>
      <c r="N71" s="569"/>
      <c r="O71" s="569"/>
      <c r="P71" s="277"/>
      <c r="Q71" s="548"/>
      <c r="R71" s="548"/>
      <c r="S71" s="548"/>
      <c r="T71" s="548"/>
      <c r="U71" s="548"/>
      <c r="V71" s="548"/>
      <c r="W71" s="548"/>
      <c r="X71" s="548"/>
      <c r="Y71" s="111"/>
    </row>
    <row r="72" spans="2:31" s="112" customFormat="1" ht="15" customHeight="1" x14ac:dyDescent="0.2">
      <c r="B72" s="110"/>
      <c r="C72" s="569"/>
      <c r="D72" s="569"/>
      <c r="E72" s="569"/>
      <c r="F72" s="569"/>
      <c r="G72" s="569"/>
      <c r="H72" s="569"/>
      <c r="I72" s="569"/>
      <c r="J72" s="569"/>
      <c r="K72" s="569"/>
      <c r="L72" s="569"/>
      <c r="M72" s="569"/>
      <c r="N72" s="569"/>
      <c r="O72" s="569"/>
      <c r="P72" s="277"/>
      <c r="Q72" s="548"/>
      <c r="R72" s="548"/>
      <c r="S72" s="548"/>
      <c r="T72" s="548"/>
      <c r="U72" s="548"/>
      <c r="V72" s="548"/>
      <c r="W72" s="548"/>
      <c r="X72" s="548"/>
      <c r="Y72" s="111"/>
    </row>
    <row r="73" spans="2:31" s="112" customFormat="1" ht="15" customHeight="1" x14ac:dyDescent="0.2">
      <c r="B73" s="110"/>
      <c r="C73" s="569" t="s">
        <v>243</v>
      </c>
      <c r="D73" s="569"/>
      <c r="E73" s="569"/>
      <c r="F73" s="569"/>
      <c r="G73" s="569"/>
      <c r="H73" s="569"/>
      <c r="I73" s="569"/>
      <c r="J73" s="569"/>
      <c r="K73" s="569"/>
      <c r="L73" s="569"/>
      <c r="M73" s="569"/>
      <c r="N73" s="569"/>
      <c r="O73" s="569"/>
      <c r="P73" s="277"/>
      <c r="Q73" s="548"/>
      <c r="R73" s="548"/>
      <c r="S73" s="548"/>
      <c r="T73" s="548"/>
      <c r="U73" s="548"/>
      <c r="V73" s="548"/>
      <c r="W73" s="548"/>
      <c r="X73" s="548"/>
      <c r="Y73" s="111"/>
    </row>
    <row r="74" spans="2:31" s="112" customFormat="1" ht="15" customHeight="1" x14ac:dyDescent="0.2">
      <c r="B74" s="110"/>
      <c r="C74" s="569"/>
      <c r="D74" s="569"/>
      <c r="E74" s="569"/>
      <c r="F74" s="569"/>
      <c r="G74" s="569"/>
      <c r="H74" s="569"/>
      <c r="I74" s="569"/>
      <c r="J74" s="569"/>
      <c r="K74" s="569"/>
      <c r="L74" s="569"/>
      <c r="M74" s="569"/>
      <c r="N74" s="569"/>
      <c r="O74" s="569"/>
      <c r="P74" s="277"/>
      <c r="Q74" s="548"/>
      <c r="R74" s="548"/>
      <c r="S74" s="548"/>
      <c r="T74" s="548"/>
      <c r="U74" s="548"/>
      <c r="V74" s="548"/>
      <c r="W74" s="548"/>
      <c r="X74" s="548"/>
      <c r="Y74" s="111"/>
    </row>
    <row r="75" spans="2:31" ht="7.15" customHeight="1" thickBot="1" x14ac:dyDescent="0.25">
      <c r="C75" s="113"/>
      <c r="D75" s="113"/>
      <c r="E75" s="113"/>
      <c r="I75" s="53"/>
      <c r="O75" s="53"/>
      <c r="P75" s="53"/>
      <c r="Q75" s="70"/>
      <c r="R75" s="70"/>
      <c r="S75" s="70"/>
      <c r="T75" s="70"/>
      <c r="U75" s="70"/>
      <c r="V75" s="70"/>
      <c r="W75" s="70"/>
      <c r="X75" s="70"/>
      <c r="Y75" s="114"/>
    </row>
    <row r="76" spans="2:31" ht="25.15" customHeight="1" thickBot="1" x14ac:dyDescent="0.25">
      <c r="B76" s="54"/>
      <c r="C76" s="940" t="s">
        <v>158</v>
      </c>
      <c r="D76" s="941"/>
      <c r="E76" s="941"/>
      <c r="F76" s="941"/>
      <c r="G76" s="941"/>
      <c r="H76" s="941"/>
      <c r="I76" s="941"/>
      <c r="J76" s="941"/>
      <c r="K76" s="941"/>
      <c r="L76" s="941"/>
      <c r="M76" s="941"/>
      <c r="N76" s="941"/>
      <c r="O76" s="942"/>
      <c r="P76" s="121"/>
      <c r="Q76" s="904" t="s">
        <v>219</v>
      </c>
      <c r="R76" s="905"/>
      <c r="S76" s="905"/>
      <c r="T76" s="905"/>
      <c r="U76" s="905"/>
      <c r="V76" s="905"/>
      <c r="W76" s="905"/>
      <c r="X76" s="906"/>
      <c r="Y76" s="56"/>
    </row>
    <row r="77" spans="2:31" ht="20.45" customHeight="1" thickBot="1" x14ac:dyDescent="0.25">
      <c r="B77" s="54"/>
      <c r="C77" s="559" t="s">
        <v>190</v>
      </c>
      <c r="D77" s="560"/>
      <c r="E77" s="560"/>
      <c r="F77" s="560"/>
      <c r="G77" s="560"/>
      <c r="H77" s="560"/>
      <c r="I77" s="560"/>
      <c r="J77" s="560"/>
      <c r="K77" s="560"/>
      <c r="L77" s="560"/>
      <c r="M77" s="560"/>
      <c r="N77" s="560"/>
      <c r="O77" s="561"/>
      <c r="P77" s="107"/>
      <c r="Q77" s="278"/>
      <c r="R77" s="279" t="s">
        <v>62</v>
      </c>
      <c r="S77" s="279" t="s">
        <v>60</v>
      </c>
      <c r="T77" s="279" t="s">
        <v>61</v>
      </c>
      <c r="U77" s="279" t="s">
        <v>57</v>
      </c>
      <c r="V77" s="279" t="s">
        <v>58</v>
      </c>
      <c r="W77" s="279" t="s">
        <v>59</v>
      </c>
      <c r="X77" s="567" t="s">
        <v>86</v>
      </c>
      <c r="Y77" s="568"/>
    </row>
    <row r="78" spans="2:31" ht="20.45" customHeight="1" thickBot="1" x14ac:dyDescent="0.25">
      <c r="B78" s="54"/>
      <c r="C78" s="559"/>
      <c r="D78" s="560"/>
      <c r="E78" s="560"/>
      <c r="F78" s="560"/>
      <c r="G78" s="560"/>
      <c r="H78" s="560"/>
      <c r="I78" s="560"/>
      <c r="J78" s="560"/>
      <c r="K78" s="560"/>
      <c r="L78" s="560"/>
      <c r="M78" s="560"/>
      <c r="N78" s="560"/>
      <c r="O78" s="561"/>
      <c r="P78" s="107"/>
      <c r="Q78" s="280" t="str">
        <f>IF(SUM(R78:W78)&gt;0,"Completar...","Nueva  UTC")</f>
        <v>Nueva  UTC</v>
      </c>
      <c r="R78" s="281"/>
      <c r="S78" s="282"/>
      <c r="T78" s="283"/>
      <c r="U78" s="284"/>
      <c r="V78" s="285"/>
      <c r="W78" s="286"/>
      <c r="X78" s="562" t="str">
        <f>IF(SUM(R78:W78)&gt;0,"Borrar UTC","Fechar en UTC")</f>
        <v>Fechar en UTC</v>
      </c>
      <c r="Y78" s="563"/>
    </row>
    <row r="79" spans="2:31" ht="20.100000000000001" customHeight="1" thickBot="1" x14ac:dyDescent="0.25">
      <c r="B79" s="54"/>
      <c r="C79" s="559"/>
      <c r="D79" s="560"/>
      <c r="E79" s="560"/>
      <c r="F79" s="560"/>
      <c r="G79" s="560"/>
      <c r="H79" s="560"/>
      <c r="I79" s="560"/>
      <c r="J79" s="560"/>
      <c r="K79" s="560"/>
      <c r="L79" s="560"/>
      <c r="M79" s="560"/>
      <c r="N79" s="560"/>
      <c r="O79" s="561"/>
      <c r="P79" s="107"/>
      <c r="Q79" s="287" t="s">
        <v>205</v>
      </c>
      <c r="R79" s="288">
        <f ca="1">IF(R78="",YEAR(NOW()),R78)</f>
        <v>2023</v>
      </c>
      <c r="S79" s="289">
        <f ca="1">IF(S78="",MONTH(NOW()),S78)</f>
        <v>11</v>
      </c>
      <c r="T79" s="290">
        <f ca="1">IF(T78="",DAY(TODAY()),T78)</f>
        <v>16</v>
      </c>
      <c r="U79" s="291">
        <f ca="1">IF(U78="",HOUR(NOW())+W88,U78+W88)</f>
        <v>19</v>
      </c>
      <c r="V79" s="292">
        <f ca="1">IF(V78="",MINUTE(NOW()),V78)</f>
        <v>24</v>
      </c>
      <c r="W79" s="289">
        <f ca="1">IF(W78="",SECOND(NOW()),W78)</f>
        <v>39</v>
      </c>
      <c r="X79" s="564"/>
      <c r="Y79" s="563"/>
    </row>
    <row r="80" spans="2:31" ht="20.100000000000001" customHeight="1" thickBot="1" x14ac:dyDescent="0.25">
      <c r="B80" s="54"/>
      <c r="C80" s="938" t="s">
        <v>3</v>
      </c>
      <c r="D80" s="939"/>
      <c r="E80" s="939"/>
      <c r="F80" s="939"/>
      <c r="G80" s="939"/>
      <c r="H80" s="556" t="s">
        <v>201</v>
      </c>
      <c r="I80" s="557"/>
      <c r="J80" s="557"/>
      <c r="K80" s="557"/>
      <c r="L80" s="557"/>
      <c r="M80" s="557"/>
      <c r="N80" s="557"/>
      <c r="O80" s="558"/>
      <c r="P80" s="122"/>
      <c r="Q80" s="293" t="s">
        <v>84</v>
      </c>
      <c r="R80" s="907">
        <f ca="1">IF($S$79=1,(INT($U$84*($R$79+4712))+INT($U$85*($S$79+1))+$T$79+((($U$79*3600)+($V$79*60)+($W$79))/($U$86*3600))+(2-(INT($R$79/100))+INT((INT($R$79/100))/4))-Q85),
IF($S$79=2,(INT($U$84*($R$79+4712))+INT($U$85*($S$79+1))+$T$79+((($U$79*3600)+($V$79*60)+($W$79))/($U$86*3600))+(2-(INT($R$79/100))+INT((INT($R$79/100))/4))-Q85),(INT($U$84*($R$79+4712))+INT($U$85*($S$79+1))+$T$79+((($U$79*3600)+($V$79*60)+$W$79))/($U$86*3600))+(2-(INT($R$79/100))+INT((INT($R$79/100))/4))-Q85))</f>
        <v>2460265.3087807223</v>
      </c>
      <c r="S80" s="908"/>
      <c r="T80" s="908"/>
      <c r="U80" s="908"/>
      <c r="V80" s="908"/>
      <c r="W80" s="909"/>
      <c r="X80" s="565" t="s">
        <v>83</v>
      </c>
      <c r="Y80" s="563"/>
    </row>
    <row r="81" spans="2:25" ht="20.100000000000001" customHeight="1" thickBot="1" x14ac:dyDescent="0.25">
      <c r="B81" s="54"/>
      <c r="C81" s="837" t="s">
        <v>157</v>
      </c>
      <c r="D81" s="838"/>
      <c r="E81" s="838"/>
      <c r="F81" s="838"/>
      <c r="G81" s="838"/>
      <c r="H81" s="839" t="s">
        <v>159</v>
      </c>
      <c r="I81" s="840"/>
      <c r="J81" s="840"/>
      <c r="K81" s="840"/>
      <c r="L81" s="840"/>
      <c r="M81" s="840"/>
      <c r="N81" s="840"/>
      <c r="O81" s="841"/>
      <c r="P81" s="54"/>
      <c r="Q81" s="826" t="s">
        <v>85</v>
      </c>
      <c r="R81" s="829">
        <f ca="1">$R$79+($W$79/($X$85*$X$84*$U$86*$U$85*$U$84))+($V$79/($X$84*$U$86*$U$85*$U$84))+($U$79/($U$86*$U$85*$U$84))+($T$79/($U$85*$U$84))+($S$79/($U$84))</f>
        <v>2023.0316283075531</v>
      </c>
      <c r="S81" s="830"/>
      <c r="T81" s="830"/>
      <c r="U81" s="830"/>
      <c r="V81" s="830"/>
      <c r="W81" s="831"/>
      <c r="X81" s="566"/>
      <c r="Y81" s="563"/>
    </row>
    <row r="82" spans="2:25" ht="20.100000000000001" customHeight="1" thickBot="1" x14ac:dyDescent="0.25">
      <c r="B82" s="56"/>
      <c r="C82" s="851"/>
      <c r="D82" s="851"/>
      <c r="E82" s="851"/>
      <c r="F82" s="851"/>
      <c r="G82" s="851"/>
      <c r="H82" s="851"/>
      <c r="I82" s="851"/>
      <c r="J82" s="851"/>
      <c r="K82" s="851"/>
      <c r="L82" s="851"/>
      <c r="M82" s="851"/>
      <c r="N82" s="851"/>
      <c r="O82" s="851"/>
      <c r="P82" s="56"/>
      <c r="Q82" s="827"/>
      <c r="R82" s="294">
        <f ca="1">$R$79</f>
        <v>2023</v>
      </c>
      <c r="S82" s="295">
        <f ca="1">$S$79</f>
        <v>11</v>
      </c>
      <c r="T82" s="832">
        <f ca="1">$T$79+($W$79/($X$85*$X$84*$U$86))+($V$79/($X$84*$U$86))+($U$79/($U$86))</f>
        <v>16.808784722222221</v>
      </c>
      <c r="U82" s="833"/>
      <c r="V82" s="833"/>
      <c r="W82" s="296"/>
      <c r="X82" s="565" t="s">
        <v>61</v>
      </c>
      <c r="Y82" s="563"/>
    </row>
    <row r="83" spans="2:25" ht="20.100000000000001" customHeight="1" thickBot="1" x14ac:dyDescent="0.25">
      <c r="B83" s="56"/>
      <c r="C83" s="162"/>
      <c r="D83" s="163"/>
      <c r="E83" s="163"/>
      <c r="F83" s="163"/>
      <c r="G83" s="163"/>
      <c r="H83" s="167"/>
      <c r="I83" s="167"/>
      <c r="J83" s="163"/>
      <c r="K83" s="163"/>
      <c r="L83" s="163"/>
      <c r="M83" s="163"/>
      <c r="N83" s="163"/>
      <c r="O83" s="164"/>
      <c r="P83" s="56"/>
      <c r="Q83" s="828"/>
      <c r="R83" s="297">
        <f ca="1">$R$79</f>
        <v>2023</v>
      </c>
      <c r="S83" s="298">
        <f ca="1">$S$79</f>
        <v>11</v>
      </c>
      <c r="T83" s="299">
        <f ca="1">$T$79</f>
        <v>16</v>
      </c>
      <c r="U83" s="834">
        <f ca="1">$U$79+($V$79/($X$84))+($W$79/($X$84*$X$85))</f>
        <v>19.410833333333333</v>
      </c>
      <c r="V83" s="835"/>
      <c r="W83" s="836"/>
      <c r="X83" s="810" t="s">
        <v>80</v>
      </c>
      <c r="Y83" s="563"/>
    </row>
    <row r="84" spans="2:25" ht="18" customHeight="1" x14ac:dyDescent="0.2">
      <c r="B84" s="56"/>
      <c r="C84" s="158"/>
      <c r="D84" s="165"/>
      <c r="E84" s="165"/>
      <c r="F84" s="165"/>
      <c r="G84" s="165"/>
      <c r="H84" s="165"/>
      <c r="I84" s="165"/>
      <c r="J84" s="165"/>
      <c r="K84" s="165"/>
      <c r="L84" s="165"/>
      <c r="M84" s="165"/>
      <c r="N84" s="165"/>
      <c r="O84" s="159"/>
      <c r="P84" s="56"/>
      <c r="Q84" s="300"/>
      <c r="R84" s="869" t="s">
        <v>107</v>
      </c>
      <c r="S84" s="852" t="s">
        <v>4</v>
      </c>
      <c r="T84" s="301" t="s">
        <v>83</v>
      </c>
      <c r="U84" s="849">
        <v>365.25</v>
      </c>
      <c r="V84" s="850"/>
      <c r="W84" s="302" t="s">
        <v>80</v>
      </c>
      <c r="X84" s="303">
        <v>60</v>
      </c>
      <c r="Y84" s="304"/>
    </row>
    <row r="85" spans="2:25" ht="18" customHeight="1" x14ac:dyDescent="0.2">
      <c r="B85" s="56"/>
      <c r="C85" s="158"/>
      <c r="D85" s="165"/>
      <c r="E85" s="165"/>
      <c r="F85" s="165"/>
      <c r="G85" s="165"/>
      <c r="H85" s="165"/>
      <c r="I85" s="165"/>
      <c r="J85" s="165"/>
      <c r="K85" s="165"/>
      <c r="L85" s="165"/>
      <c r="M85" s="165"/>
      <c r="N85" s="165"/>
      <c r="O85" s="159"/>
      <c r="P85" s="56"/>
      <c r="Q85" s="317">
        <v>61.500003999999997</v>
      </c>
      <c r="R85" s="869"/>
      <c r="S85" s="853"/>
      <c r="T85" s="305" t="s">
        <v>60</v>
      </c>
      <c r="U85" s="900">
        <f>U84/12</f>
        <v>30.4375</v>
      </c>
      <c r="V85" s="901"/>
      <c r="W85" s="306" t="s">
        <v>81</v>
      </c>
      <c r="X85" s="307">
        <v>60</v>
      </c>
      <c r="Y85" s="308"/>
    </row>
    <row r="86" spans="2:25" ht="18" customHeight="1" x14ac:dyDescent="0.2">
      <c r="B86" s="56"/>
      <c r="C86" s="158"/>
      <c r="D86" s="165"/>
      <c r="E86" s="165"/>
      <c r="F86" s="165"/>
      <c r="G86" s="165"/>
      <c r="H86" s="165"/>
      <c r="I86" s="165"/>
      <c r="J86" s="165"/>
      <c r="K86" s="165"/>
      <c r="L86" s="165"/>
      <c r="M86" s="165"/>
      <c r="N86" s="165"/>
      <c r="O86" s="159"/>
      <c r="P86" s="56"/>
      <c r="Q86" s="316" t="s">
        <v>246</v>
      </c>
      <c r="R86" s="869"/>
      <c r="S86" s="854"/>
      <c r="T86" s="309" t="s">
        <v>61</v>
      </c>
      <c r="U86" s="808">
        <v>24</v>
      </c>
      <c r="V86" s="809"/>
      <c r="W86" s="310" t="s">
        <v>82</v>
      </c>
      <c r="X86" s="311" t="s">
        <v>56</v>
      </c>
      <c r="Y86" s="308"/>
    </row>
    <row r="87" spans="2:25" ht="18" customHeight="1" thickBot="1" x14ac:dyDescent="0.25">
      <c r="B87" s="56"/>
      <c r="C87" s="158"/>
      <c r="D87" s="165"/>
      <c r="E87" s="165"/>
      <c r="F87" s="165"/>
      <c r="G87" s="165"/>
      <c r="H87" s="165"/>
      <c r="I87" s="165"/>
      <c r="J87" s="165"/>
      <c r="K87" s="165"/>
      <c r="L87" s="165"/>
      <c r="M87" s="165"/>
      <c r="N87" s="165"/>
      <c r="O87" s="159"/>
      <c r="P87" s="56"/>
      <c r="Q87" s="842" t="s">
        <v>220</v>
      </c>
      <c r="R87" s="843"/>
      <c r="S87" s="843"/>
      <c r="T87" s="843"/>
      <c r="U87" s="843"/>
      <c r="V87" s="843"/>
      <c r="W87" s="843"/>
      <c r="X87" s="843"/>
      <c r="Y87" s="308"/>
    </row>
    <row r="88" spans="2:25" ht="20.100000000000001" customHeight="1" thickBot="1" x14ac:dyDescent="0.25">
      <c r="B88" s="56"/>
      <c r="C88" s="158"/>
      <c r="D88" s="165"/>
      <c r="E88" s="165"/>
      <c r="F88" s="165"/>
      <c r="G88" s="165"/>
      <c r="H88" s="165"/>
      <c r="I88" s="165"/>
      <c r="J88" s="165"/>
      <c r="K88" s="165"/>
      <c r="L88" s="165"/>
      <c r="M88" s="165"/>
      <c r="N88" s="165"/>
      <c r="O88" s="159"/>
      <c r="P88" s="142"/>
      <c r="Q88" s="844" t="s">
        <v>244</v>
      </c>
      <c r="R88" s="845"/>
      <c r="S88" s="845"/>
      <c r="T88" s="845"/>
      <c r="U88" s="845"/>
      <c r="V88" s="846"/>
      <c r="W88" s="429">
        <v>-1</v>
      </c>
      <c r="X88" s="847" t="s">
        <v>214</v>
      </c>
      <c r="Y88" s="848"/>
    </row>
    <row r="89" spans="2:25" ht="20.100000000000001" customHeight="1" x14ac:dyDescent="0.2">
      <c r="B89" s="56"/>
      <c r="C89" s="158"/>
      <c r="D89" s="165"/>
      <c r="E89" s="165"/>
      <c r="F89" s="165"/>
      <c r="G89" s="165"/>
      <c r="H89" s="165"/>
      <c r="I89" s="165"/>
      <c r="J89" s="165"/>
      <c r="K89" s="165"/>
      <c r="L89" s="165"/>
      <c r="M89" s="165"/>
      <c r="N89" s="165"/>
      <c r="O89" s="159"/>
      <c r="P89" s="56"/>
      <c r="Q89" s="815" t="s">
        <v>221</v>
      </c>
      <c r="R89" s="816"/>
      <c r="S89" s="816"/>
      <c r="T89" s="816"/>
      <c r="U89" s="816"/>
      <c r="V89" s="816"/>
      <c r="W89" s="816"/>
      <c r="X89" s="816"/>
      <c r="Y89" s="312"/>
    </row>
    <row r="90" spans="2:25" ht="9.9499999999999993" customHeight="1" x14ac:dyDescent="0.2">
      <c r="B90" s="56"/>
      <c r="C90" s="158"/>
      <c r="D90" s="165"/>
      <c r="E90" s="165"/>
      <c r="F90" s="165"/>
      <c r="G90" s="165"/>
      <c r="H90" s="165"/>
      <c r="I90" s="165"/>
      <c r="J90" s="165"/>
      <c r="K90" s="165"/>
      <c r="L90" s="165"/>
      <c r="M90" s="165"/>
      <c r="N90" s="165"/>
      <c r="O90" s="159"/>
      <c r="P90" s="56"/>
      <c r="Q90" s="821" t="s">
        <v>344</v>
      </c>
      <c r="R90" s="822"/>
      <c r="S90" s="822"/>
      <c r="T90" s="817"/>
      <c r="U90" s="818"/>
      <c r="V90" s="818"/>
      <c r="W90" s="818"/>
      <c r="X90" s="818"/>
      <c r="Y90" s="107"/>
    </row>
    <row r="91" spans="2:25" ht="16.350000000000001" customHeight="1" x14ac:dyDescent="0.2">
      <c r="B91" s="56"/>
      <c r="C91" s="158"/>
      <c r="D91" s="165"/>
      <c r="E91" s="165"/>
      <c r="F91" s="165"/>
      <c r="G91" s="165"/>
      <c r="H91" s="165"/>
      <c r="I91" s="165"/>
      <c r="J91" s="165"/>
      <c r="K91" s="165"/>
      <c r="L91" s="165"/>
      <c r="M91" s="165"/>
      <c r="N91" s="165"/>
      <c r="O91" s="159"/>
      <c r="P91" s="56"/>
      <c r="Q91" s="821"/>
      <c r="R91" s="822"/>
      <c r="S91" s="822"/>
      <c r="T91" s="157"/>
      <c r="U91" s="56"/>
      <c r="V91" s="56"/>
      <c r="W91" s="56"/>
      <c r="X91" s="56"/>
      <c r="Y91" s="107"/>
    </row>
    <row r="92" spans="2:25" ht="16.350000000000001" customHeight="1" x14ac:dyDescent="0.2">
      <c r="B92" s="56"/>
      <c r="C92" s="158"/>
      <c r="D92" s="165"/>
      <c r="E92" s="165"/>
      <c r="F92" s="165"/>
      <c r="G92" s="165"/>
      <c r="H92" s="165"/>
      <c r="I92" s="165"/>
      <c r="J92" s="165"/>
      <c r="K92" s="165"/>
      <c r="L92" s="165"/>
      <c r="M92" s="165"/>
      <c r="N92" s="165"/>
      <c r="O92" s="159"/>
      <c r="P92" s="56"/>
      <c r="Q92" s="822"/>
      <c r="R92" s="822"/>
      <c r="S92" s="822"/>
      <c r="T92" s="56"/>
      <c r="U92" s="56"/>
      <c r="V92" s="56"/>
      <c r="W92" s="56"/>
      <c r="X92" s="56"/>
      <c r="Y92" s="107"/>
    </row>
    <row r="93" spans="2:25" ht="15.75" thickBot="1" x14ac:dyDescent="0.25">
      <c r="B93" s="56"/>
      <c r="C93" s="160"/>
      <c r="D93" s="166"/>
      <c r="E93" s="166"/>
      <c r="F93" s="166"/>
      <c r="G93" s="166"/>
      <c r="H93" s="166"/>
      <c r="I93" s="166"/>
      <c r="J93" s="166"/>
      <c r="K93" s="166"/>
      <c r="L93" s="166"/>
      <c r="M93" s="166"/>
      <c r="N93" s="166"/>
      <c r="O93" s="161"/>
      <c r="P93" s="123"/>
      <c r="Q93" s="824" t="s">
        <v>343</v>
      </c>
      <c r="R93" s="825"/>
      <c r="S93" s="825"/>
      <c r="T93" s="313"/>
      <c r="U93" s="807" t="s">
        <v>326</v>
      </c>
      <c r="V93" s="807"/>
      <c r="W93" s="807"/>
      <c r="X93" s="807"/>
      <c r="Y93" s="313"/>
    </row>
    <row r="94" spans="2:25" ht="15" customHeight="1" thickBot="1" x14ac:dyDescent="0.25">
      <c r="B94" s="143"/>
      <c r="C94" s="814"/>
      <c r="D94" s="814"/>
      <c r="E94" s="143"/>
      <c r="F94" s="143"/>
      <c r="G94" s="143"/>
      <c r="H94" s="168"/>
      <c r="I94" s="168"/>
      <c r="J94" s="143"/>
      <c r="K94" s="143"/>
      <c r="L94" s="143"/>
      <c r="M94" s="143"/>
      <c r="N94" s="143"/>
      <c r="O94" s="143"/>
      <c r="P94" s="143"/>
      <c r="Q94" s="823" t="s">
        <v>127</v>
      </c>
      <c r="R94" s="823"/>
      <c r="S94" s="823"/>
      <c r="T94" s="823"/>
      <c r="U94" s="823"/>
      <c r="V94" s="823"/>
      <c r="W94" s="823"/>
      <c r="X94" s="823"/>
      <c r="Y94" s="823"/>
    </row>
    <row r="95" spans="2:25" ht="15.75" thickTop="1" x14ac:dyDescent="0.2">
      <c r="B95" s="144"/>
      <c r="C95" s="145" t="s">
        <v>342</v>
      </c>
      <c r="D95" s="813" t="s">
        <v>197</v>
      </c>
      <c r="E95" s="813"/>
      <c r="F95" s="813"/>
      <c r="G95" s="813"/>
      <c r="H95" s="813"/>
      <c r="I95" s="813"/>
      <c r="J95" s="813"/>
      <c r="K95" s="813"/>
      <c r="L95" s="813"/>
      <c r="M95" s="813"/>
      <c r="N95" s="813"/>
      <c r="O95" s="813"/>
      <c r="P95" s="813"/>
      <c r="Q95" s="813"/>
      <c r="R95" s="813"/>
      <c r="S95" s="813"/>
      <c r="T95" s="813"/>
      <c r="U95" s="813"/>
      <c r="V95" s="813"/>
      <c r="W95" s="813"/>
      <c r="X95" s="813"/>
      <c r="Y95" s="813"/>
    </row>
    <row r="97" spans="15:21" x14ac:dyDescent="0.2">
      <c r="S97" s="819"/>
      <c r="T97" s="820"/>
      <c r="U97" s="820"/>
    </row>
    <row r="101" spans="15:21" x14ac:dyDescent="0.2">
      <c r="O101" s="811"/>
      <c r="P101" s="811"/>
      <c r="Q101" s="812"/>
    </row>
  </sheetData>
  <sheetProtection algorithmName="SHA-512" hashValue="S0DH7nFzY5lItUlWN37M3ScaiConTd0UHhIA0F0WhLa+4JvLOISOTB4ah3rYsBUXPDfwC7Pd7copKvXLjYiJ1A==" saltValue="RfjjhyoYW3Z+VFwtkzuYsQ==" spinCount="100000" sheet="1" formatCells="0" formatColumns="0" formatRows="0" insertColumns="0" insertRows="0" insertHyperlinks="0" deleteColumns="0" deleteRows="0" sort="0" autoFilter="0" pivotTables="0"/>
  <mergeCells count="262">
    <mergeCell ref="S11:W11"/>
    <mergeCell ref="C1:X1"/>
    <mergeCell ref="Q7:V7"/>
    <mergeCell ref="Q52:X53"/>
    <mergeCell ref="Q20:X23"/>
    <mergeCell ref="Q24:X27"/>
    <mergeCell ref="S10:T10"/>
    <mergeCell ref="Q10:R10"/>
    <mergeCell ref="U10:V10"/>
    <mergeCell ref="Q12:X12"/>
    <mergeCell ref="Q28:X34"/>
    <mergeCell ref="Q15:X19"/>
    <mergeCell ref="W9:X9"/>
    <mergeCell ref="W10:X10"/>
    <mergeCell ref="M12:O13"/>
    <mergeCell ref="J21:L21"/>
    <mergeCell ref="Q9:R9"/>
    <mergeCell ref="S9:V9"/>
    <mergeCell ref="Q8:U8"/>
    <mergeCell ref="D17:F17"/>
    <mergeCell ref="H17:I17"/>
    <mergeCell ref="C18:F18"/>
    <mergeCell ref="G18:I18"/>
    <mergeCell ref="M23:O23"/>
    <mergeCell ref="Q13:V13"/>
    <mergeCell ref="Q14:R14"/>
    <mergeCell ref="T14:U14"/>
    <mergeCell ref="V14:X14"/>
    <mergeCell ref="C22:C23"/>
    <mergeCell ref="G20:I20"/>
    <mergeCell ref="J23:L23"/>
    <mergeCell ref="M22:O22"/>
    <mergeCell ref="D21:F21"/>
    <mergeCell ref="H14:O14"/>
    <mergeCell ref="J16:L16"/>
    <mergeCell ref="G21:I21"/>
    <mergeCell ref="M16:O16"/>
    <mergeCell ref="D20:F20"/>
    <mergeCell ref="M18:O18"/>
    <mergeCell ref="M21:O21"/>
    <mergeCell ref="G15:I15"/>
    <mergeCell ref="G12:I13"/>
    <mergeCell ref="J15:L15"/>
    <mergeCell ref="J12:L13"/>
    <mergeCell ref="X82:Y82"/>
    <mergeCell ref="Q76:X76"/>
    <mergeCell ref="R80:W80"/>
    <mergeCell ref="T58:U58"/>
    <mergeCell ref="Q58:S58"/>
    <mergeCell ref="W60:X60"/>
    <mergeCell ref="U60:V60"/>
    <mergeCell ref="C59:I59"/>
    <mergeCell ref="J66:L66"/>
    <mergeCell ref="H66:I66"/>
    <mergeCell ref="M61:N61"/>
    <mergeCell ref="Q61:T61"/>
    <mergeCell ref="C61:I61"/>
    <mergeCell ref="K61:L61"/>
    <mergeCell ref="C60:I60"/>
    <mergeCell ref="K59:L59"/>
    <mergeCell ref="T59:U59"/>
    <mergeCell ref="M59:N59"/>
    <mergeCell ref="R59:S59"/>
    <mergeCell ref="C73:O74"/>
    <mergeCell ref="C66:G66"/>
    <mergeCell ref="C80:G80"/>
    <mergeCell ref="C76:O76"/>
    <mergeCell ref="J62:L62"/>
    <mergeCell ref="H53:I53"/>
    <mergeCell ref="I52:J52"/>
    <mergeCell ref="M45:O45"/>
    <mergeCell ref="C34:F34"/>
    <mergeCell ref="J44:O44"/>
    <mergeCell ref="C43:D43"/>
    <mergeCell ref="C35:D35"/>
    <mergeCell ref="R84:R86"/>
    <mergeCell ref="Q57:U57"/>
    <mergeCell ref="M55:N55"/>
    <mergeCell ref="M66:O66"/>
    <mergeCell ref="C57:F57"/>
    <mergeCell ref="M57:O57"/>
    <mergeCell ref="C53:F53"/>
    <mergeCell ref="K52:L52"/>
    <mergeCell ref="C52:F52"/>
    <mergeCell ref="S44:T44"/>
    <mergeCell ref="J53:L53"/>
    <mergeCell ref="E43:O43"/>
    <mergeCell ref="C42:O42"/>
    <mergeCell ref="D46:F46"/>
    <mergeCell ref="U85:V85"/>
    <mergeCell ref="M52:N52"/>
    <mergeCell ref="D44:F44"/>
    <mergeCell ref="U93:X93"/>
    <mergeCell ref="U86:V86"/>
    <mergeCell ref="X83:Y83"/>
    <mergeCell ref="O101:Q101"/>
    <mergeCell ref="D95:Y95"/>
    <mergeCell ref="C94:D94"/>
    <mergeCell ref="Q89:X89"/>
    <mergeCell ref="T90:X90"/>
    <mergeCell ref="S97:U97"/>
    <mergeCell ref="Q90:S92"/>
    <mergeCell ref="Q94:Y94"/>
    <mergeCell ref="Q93:S93"/>
    <mergeCell ref="Q81:Q83"/>
    <mergeCell ref="R81:W81"/>
    <mergeCell ref="T82:V82"/>
    <mergeCell ref="U83:W83"/>
    <mergeCell ref="C81:G81"/>
    <mergeCell ref="H81:O81"/>
    <mergeCell ref="Q87:X87"/>
    <mergeCell ref="Q88:V88"/>
    <mergeCell ref="X88:Y88"/>
    <mergeCell ref="U84:V84"/>
    <mergeCell ref="C82:O82"/>
    <mergeCell ref="S84:S86"/>
    <mergeCell ref="G35:O35"/>
    <mergeCell ref="G44:I44"/>
    <mergeCell ref="J30:L30"/>
    <mergeCell ref="G34:I34"/>
    <mergeCell ref="B40:Y40"/>
    <mergeCell ref="S35:X35"/>
    <mergeCell ref="K38:L38"/>
    <mergeCell ref="C32:D33"/>
    <mergeCell ref="G29:I29"/>
    <mergeCell ref="S43:X43"/>
    <mergeCell ref="Q36:X36"/>
    <mergeCell ref="S45:T45"/>
    <mergeCell ref="U46:V46"/>
    <mergeCell ref="U44:X44"/>
    <mergeCell ref="Q43:R43"/>
    <mergeCell ref="Q37:W38"/>
    <mergeCell ref="M38:N38"/>
    <mergeCell ref="C37:O37"/>
    <mergeCell ref="J46:L46"/>
    <mergeCell ref="D7:F7"/>
    <mergeCell ref="G7:O7"/>
    <mergeCell ref="B2:Y2"/>
    <mergeCell ref="W46:X46"/>
    <mergeCell ref="S46:T46"/>
    <mergeCell ref="Q42:X42"/>
    <mergeCell ref="U45:V45"/>
    <mergeCell ref="G25:I25"/>
    <mergeCell ref="J28:L28"/>
    <mergeCell ref="M26:O26"/>
    <mergeCell ref="G28:I28"/>
    <mergeCell ref="C28:F28"/>
    <mergeCell ref="G24:I24"/>
    <mergeCell ref="C25:F25"/>
    <mergeCell ref="J26:L26"/>
    <mergeCell ref="M25:O25"/>
    <mergeCell ref="J25:L25"/>
    <mergeCell ref="G33:I33"/>
    <mergeCell ref="J24:L24"/>
    <mergeCell ref="M24:O24"/>
    <mergeCell ref="M27:O27"/>
    <mergeCell ref="C26:C27"/>
    <mergeCell ref="C30:F30"/>
    <mergeCell ref="G30:I30"/>
    <mergeCell ref="M32:O32"/>
    <mergeCell ref="D45:F45"/>
    <mergeCell ref="J27:L27"/>
    <mergeCell ref="J45:L45"/>
    <mergeCell ref="C14:G14"/>
    <mergeCell ref="C15:F15"/>
    <mergeCell ref="J29:L29"/>
    <mergeCell ref="M33:O33"/>
    <mergeCell ref="G26:I26"/>
    <mergeCell ref="M20:O20"/>
    <mergeCell ref="G16:I16"/>
    <mergeCell ref="J18:L18"/>
    <mergeCell ref="G45:I45"/>
    <mergeCell ref="D26:F26"/>
    <mergeCell ref="J22:L22"/>
    <mergeCell ref="J20:L20"/>
    <mergeCell ref="C24:F24"/>
    <mergeCell ref="D27:F27"/>
    <mergeCell ref="D22:F22"/>
    <mergeCell ref="J32:L33"/>
    <mergeCell ref="M29:O29"/>
    <mergeCell ref="C29:F29"/>
    <mergeCell ref="M30:O30"/>
    <mergeCell ref="G32:I32"/>
    <mergeCell ref="Q4:X6"/>
    <mergeCell ref="M53:O53"/>
    <mergeCell ref="C38:J38"/>
    <mergeCell ref="K55:L55"/>
    <mergeCell ref="G55:I55"/>
    <mergeCell ref="Q50:X50"/>
    <mergeCell ref="Q54:X54"/>
    <mergeCell ref="J54:O54"/>
    <mergeCell ref="E32:F32"/>
    <mergeCell ref="J34:O34"/>
    <mergeCell ref="E33:F33"/>
    <mergeCell ref="J17:L17"/>
    <mergeCell ref="M17:O17"/>
    <mergeCell ref="C19:O19"/>
    <mergeCell ref="Q35:R35"/>
    <mergeCell ref="M28:O28"/>
    <mergeCell ref="G27:I27"/>
    <mergeCell ref="C4:O6"/>
    <mergeCell ref="G22:I22"/>
    <mergeCell ref="G23:I23"/>
    <mergeCell ref="D23:F23"/>
    <mergeCell ref="W7:X7"/>
    <mergeCell ref="C36:N36"/>
    <mergeCell ref="Q55:X55"/>
    <mergeCell ref="C62:I62"/>
    <mergeCell ref="W62:X62"/>
    <mergeCell ref="Q69:X74"/>
    <mergeCell ref="B68:Y68"/>
    <mergeCell ref="Q62:T62"/>
    <mergeCell ref="U62:V62"/>
    <mergeCell ref="M62:O62"/>
    <mergeCell ref="H80:O80"/>
    <mergeCell ref="C77:O79"/>
    <mergeCell ref="X78:Y79"/>
    <mergeCell ref="X80:Y81"/>
    <mergeCell ref="X77:Y77"/>
    <mergeCell ref="C69:O72"/>
    <mergeCell ref="P66:Q66"/>
    <mergeCell ref="K63:L63"/>
    <mergeCell ref="M63:N63"/>
    <mergeCell ref="C63:I63"/>
    <mergeCell ref="Q63:T63"/>
    <mergeCell ref="C64:O64"/>
    <mergeCell ref="Q64:X64"/>
    <mergeCell ref="Z58:AA58"/>
    <mergeCell ref="J58:K58"/>
    <mergeCell ref="L58:O58"/>
    <mergeCell ref="G58:I58"/>
    <mergeCell ref="M60:O60"/>
    <mergeCell ref="Q60:T60"/>
    <mergeCell ref="J57:L57"/>
    <mergeCell ref="G57:I57"/>
    <mergeCell ref="V57:W57"/>
    <mergeCell ref="J60:L60"/>
    <mergeCell ref="V58:X58"/>
    <mergeCell ref="C55:D55"/>
    <mergeCell ref="C54:I54"/>
    <mergeCell ref="M46:O46"/>
    <mergeCell ref="C58:D58"/>
    <mergeCell ref="C16:F16"/>
    <mergeCell ref="D8:F9"/>
    <mergeCell ref="C20:C21"/>
    <mergeCell ref="M15:O15"/>
    <mergeCell ref="G46:I46"/>
    <mergeCell ref="C50:O50"/>
    <mergeCell ref="C8:C10"/>
    <mergeCell ref="J8:L8"/>
    <mergeCell ref="C12:F13"/>
    <mergeCell ref="M8:O8"/>
    <mergeCell ref="M9:O9"/>
    <mergeCell ref="G10:I10"/>
    <mergeCell ref="M10:O10"/>
    <mergeCell ref="C11:O11"/>
    <mergeCell ref="J10:L10"/>
    <mergeCell ref="D10:F10"/>
    <mergeCell ref="G8:I8"/>
    <mergeCell ref="J9:L9"/>
    <mergeCell ref="G9:I9"/>
    <mergeCell ref="C31:O31"/>
  </mergeCells>
  <phoneticPr fontId="0" type="noConversion"/>
  <conditionalFormatting sqref="G57">
    <cfRule type="expression" dxfId="70" priority="202" stopIfTrue="1">
      <formula>$G$57="Mag. Visual"</formula>
    </cfRule>
  </conditionalFormatting>
  <conditionalFormatting sqref="G41:H41">
    <cfRule type="cellIs" dxfId="69" priority="105" stopIfTrue="1" operator="equal">
      <formula>"-"</formula>
    </cfRule>
  </conditionalFormatting>
  <conditionalFormatting sqref="G53:H53">
    <cfRule type="expression" dxfId="68" priority="780" stopIfTrue="1">
      <formula>$U$70="B"</formula>
    </cfRule>
  </conditionalFormatting>
  <conditionalFormatting sqref="G15:I15">
    <cfRule type="cellIs" dxfId="67" priority="120" stopIfTrue="1" operator="equal">
      <formula>"df Ocular ?"</formula>
    </cfRule>
  </conditionalFormatting>
  <conditionalFormatting sqref="G26:I26">
    <cfRule type="cellIs" dxfId="66" priority="110" stopIfTrue="1" operator="equal">
      <formula>"Supera aumento"</formula>
    </cfRule>
  </conditionalFormatting>
  <conditionalFormatting sqref="G27:I27">
    <cfRule type="cellIs" dxfId="65" priority="111" stopIfTrue="1" operator="equal">
      <formula>"Ocular df ?"</formula>
    </cfRule>
  </conditionalFormatting>
  <conditionalFormatting sqref="G28:I29">
    <cfRule type="cellIs" dxfId="64" priority="108" stopIfTrue="1" operator="equal">
      <formula>"-"</formula>
    </cfRule>
  </conditionalFormatting>
  <conditionalFormatting sqref="G55:I55">
    <cfRule type="cellIs" priority="98" stopIfTrue="1" operator="between">
      <formula>60</formula>
      <formula>240</formula>
    </cfRule>
  </conditionalFormatting>
  <conditionalFormatting sqref="G56:K56 N56:O56">
    <cfRule type="expression" dxfId="63" priority="778" stopIfTrue="1">
      <formula>$U$70="B"</formula>
    </cfRule>
  </conditionalFormatting>
  <conditionalFormatting sqref="J45 T45 V45 C45:D46 G45:G46 Q45:S46 U45:U46 J46:L46 S46:T46">
    <cfRule type="expression" dxfId="62" priority="101" stopIfTrue="1">
      <formula>"si(e31=""24x36"";"""""</formula>
    </cfRule>
  </conditionalFormatting>
  <conditionalFormatting sqref="J53">
    <cfRule type="expression" dxfId="61" priority="781" stopIfTrue="1">
      <formula>$U$70="B"</formula>
    </cfRule>
  </conditionalFormatting>
  <conditionalFormatting sqref="J55">
    <cfRule type="expression" dxfId="60" priority="122" stopIfTrue="1">
      <formula>$J$55=0</formula>
    </cfRule>
  </conditionalFormatting>
  <conditionalFormatting sqref="J22:L22">
    <cfRule type="cellIs" dxfId="59" priority="113" stopIfTrue="1" operator="equal">
      <formula>"Campo ?"</formula>
    </cfRule>
  </conditionalFormatting>
  <conditionalFormatting sqref="J24:L24">
    <cfRule type="cellIs" dxfId="58" priority="112" stopIfTrue="1" operator="equal">
      <formula>"Distancia &gt;&gt;"</formula>
    </cfRule>
  </conditionalFormatting>
  <conditionalFormatting sqref="J27:L28 M28">
    <cfRule type="cellIs" dxfId="57" priority="106" stopIfTrue="1" operator="equal">
      <formula>"?"</formula>
    </cfRule>
    <cfRule type="cellIs" dxfId="56" priority="107" stopIfTrue="1" operator="equal">
      <formula>"-"</formula>
    </cfRule>
  </conditionalFormatting>
  <conditionalFormatting sqref="J55:L55">
    <cfRule type="expression" dxfId="55" priority="121" stopIfTrue="1">
      <formula>$J$54="B/N"</formula>
    </cfRule>
  </conditionalFormatting>
  <conditionalFormatting sqref="J57:L57">
    <cfRule type="expression" dxfId="54" priority="409" stopIfTrue="1">
      <formula>#REF!&lt;15%</formula>
    </cfRule>
  </conditionalFormatting>
  <conditionalFormatting sqref="J16:O16">
    <cfRule type="expression" dxfId="53" priority="25">
      <formula>$J$16&gt;3.5</formula>
    </cfRule>
    <cfRule type="expression" dxfId="52" priority="27">
      <formula>$J$16&gt;0.51</formula>
    </cfRule>
    <cfRule type="expression" dxfId="51" priority="28">
      <formula>$J$16&lt;=0.5</formula>
    </cfRule>
  </conditionalFormatting>
  <conditionalFormatting sqref="K59 V59">
    <cfRule type="expression" dxfId="50" priority="86" stopIfTrue="1">
      <formula>$V$9&gt;16</formula>
    </cfRule>
  </conditionalFormatting>
  <conditionalFormatting sqref="L49:N49 P49">
    <cfRule type="expression" dxfId="49" priority="102" stopIfTrue="1">
      <formula>#REF!="E"</formula>
    </cfRule>
  </conditionalFormatting>
  <conditionalFormatting sqref="M15:O15">
    <cfRule type="expression" priority="203" stopIfTrue="1">
      <formula>"m65&lt;0,04"</formula>
    </cfRule>
  </conditionalFormatting>
  <conditionalFormatting sqref="M25:O25 M27:O27 J29:O29 M61:O62 W62:X62">
    <cfRule type="expression" dxfId="48" priority="338" stopIfTrue="1">
      <formula>#REF!&lt;0.04</formula>
    </cfRule>
  </conditionalFormatting>
  <conditionalFormatting sqref="M57:O57">
    <cfRule type="cellIs" dxfId="47" priority="410" stopIfTrue="1" operator="equal">
      <formula>IF(#REF!&gt;10%,"Proyec. Ocular","")</formula>
    </cfRule>
    <cfRule type="cellIs" dxfId="46" priority="411" stopIfTrue="1" operator="equal">
      <formula>IF(#REF!&gt;10%,"Proyec. Ocular","")</formula>
    </cfRule>
    <cfRule type="cellIs" dxfId="45" priority="412" stopIfTrue="1" operator="equal">
      <formula>IF(#REF!&gt;10%,"Proyec. Ocular","")</formula>
    </cfRule>
    <cfRule type="expression" dxfId="44" priority="413" stopIfTrue="1">
      <formula>#REF!&lt;15%</formula>
    </cfRule>
  </conditionalFormatting>
  <conditionalFormatting sqref="O49">
    <cfRule type="expression" dxfId="43" priority="67" stopIfTrue="1">
      <formula>V9="E"</formula>
    </cfRule>
  </conditionalFormatting>
  <conditionalFormatting sqref="O55">
    <cfRule type="expression" dxfId="42" priority="124" stopIfTrue="1">
      <formula>$J$54="B/N"</formula>
    </cfRule>
  </conditionalFormatting>
  <conditionalFormatting sqref="P8:P10 P20:P33 N31:O31 P61:P65 R66:Y66 P67:Y67">
    <cfRule type="expression" dxfId="41" priority="84" stopIfTrue="1">
      <formula>$M$16&gt;22.5</formula>
    </cfRule>
  </conditionalFormatting>
  <conditionalFormatting sqref="P15:P17">
    <cfRule type="expression" dxfId="40" priority="118" stopIfTrue="1">
      <formula>"?"</formula>
    </cfRule>
    <cfRule type="expression" dxfId="39" priority="119" stopIfTrue="1">
      <formula>$M$16&gt;22.5</formula>
    </cfRule>
  </conditionalFormatting>
  <conditionalFormatting sqref="P18:P19">
    <cfRule type="cellIs" dxfId="38" priority="114" stopIfTrue="1" operator="between">
      <formula>1.5</formula>
      <formula>4.5</formula>
    </cfRule>
    <cfRule type="cellIs" dxfId="37" priority="115" stopIfTrue="1" operator="between">
      <formula>4.5</formula>
      <formula>10.5</formula>
    </cfRule>
    <cfRule type="cellIs" dxfId="36" priority="116" stopIfTrue="1" operator="between">
      <formula>10.5</formula>
      <formula>22.5</formula>
    </cfRule>
  </conditionalFormatting>
  <conditionalFormatting sqref="P52">
    <cfRule type="expression" dxfId="35" priority="66" stopIfTrue="1">
      <formula>Y7="E"</formula>
    </cfRule>
  </conditionalFormatting>
  <conditionalFormatting sqref="P53">
    <cfRule type="expression" dxfId="34" priority="68" stopIfTrue="1">
      <formula>Y9="E"</formula>
    </cfRule>
  </conditionalFormatting>
  <conditionalFormatting sqref="P54">
    <cfRule type="expression" dxfId="33" priority="63" stopIfTrue="1">
      <formula>Y6="E"</formula>
    </cfRule>
  </conditionalFormatting>
  <conditionalFormatting sqref="P55">
    <cfRule type="expression" dxfId="32" priority="64" stopIfTrue="1">
      <formula>Y6="E"</formula>
    </cfRule>
  </conditionalFormatting>
  <conditionalFormatting sqref="P56:P57">
    <cfRule type="expression" dxfId="31" priority="703" stopIfTrue="1">
      <formula>Y11="E"</formula>
    </cfRule>
  </conditionalFormatting>
  <conditionalFormatting sqref="Q9">
    <cfRule type="expression" dxfId="30" priority="117" stopIfTrue="1">
      <formula>#REF!&gt;0</formula>
    </cfRule>
  </conditionalFormatting>
  <conditionalFormatting sqref="Q11">
    <cfRule type="expression" dxfId="29" priority="635" stopIfTrue="1">
      <formula>IF($Q$9="LUNA",E29)</formula>
    </cfRule>
    <cfRule type="expression" dxfId="28" priority="636" stopIfTrue="1">
      <formula>IF($Q$9="SOL",E36)</formula>
    </cfRule>
    <cfRule type="expression" dxfId="27" priority="637" stopIfTrue="1">
      <formula>IF($Q$9="",F36)</formula>
    </cfRule>
  </conditionalFormatting>
  <conditionalFormatting sqref="Q55">
    <cfRule type="expression" dxfId="26" priority="92" stopIfTrue="1">
      <formula>#REF!="E"</formula>
    </cfRule>
  </conditionalFormatting>
  <conditionalFormatting sqref="Q57">
    <cfRule type="expression" dxfId="25" priority="75" stopIfTrue="1">
      <formula>$W$9&gt;=3</formula>
    </cfRule>
    <cfRule type="expression" dxfId="24" priority="76" stopIfTrue="1">
      <formula>$X$9&gt;=8</formula>
    </cfRule>
  </conditionalFormatting>
  <conditionalFormatting sqref="Q78">
    <cfRule type="cellIs" dxfId="23" priority="90" stopIfTrue="1" operator="equal">
      <formula>"""Borrar →"""</formula>
    </cfRule>
  </conditionalFormatting>
  <conditionalFormatting sqref="Q79">
    <cfRule type="cellIs" dxfId="22" priority="89" stopIfTrue="1" operator="equal">
      <formula>"""Borrar →"""</formula>
    </cfRule>
  </conditionalFormatting>
  <conditionalFormatting sqref="Q84 Q86:Q87">
    <cfRule type="cellIs" priority="81" stopIfTrue="1" operator="lessThan">
      <formula>1</formula>
    </cfRule>
  </conditionalFormatting>
  <conditionalFormatting sqref="Q57:U57">
    <cfRule type="cellIs" dxfId="21" priority="429" stopIfTrue="1" operator="equal">
      <formula>IF(#REF!&gt;10%,"Proyec. Ocular","")</formula>
    </cfRule>
  </conditionalFormatting>
  <conditionalFormatting sqref="Q10:V10">
    <cfRule type="expression" dxfId="20" priority="17">
      <formula>$Q$9="CIELO PROFUNDO"</formula>
    </cfRule>
    <cfRule type="expression" dxfId="19" priority="18">
      <formula>$Q$9="MESSIER"</formula>
    </cfRule>
    <cfRule type="expression" dxfId="18" priority="19">
      <formula>$Q$9="SISTEMA SOLAR"</formula>
    </cfRule>
    <cfRule type="expression" dxfId="17" priority="20">
      <formula>$Q$9="MANCHAS EN SOL"</formula>
    </cfRule>
    <cfRule type="expression" dxfId="16" priority="21" stopIfTrue="1">
      <formula>$Q$9="SATURNO"</formula>
    </cfRule>
    <cfRule type="expression" dxfId="15" priority="22" stopIfTrue="1">
      <formula>$Q$9="JÚPITER"</formula>
    </cfRule>
    <cfRule type="expression" dxfId="14" priority="24" stopIfTrue="1">
      <formula>$Q$9="LUNA"</formula>
    </cfRule>
  </conditionalFormatting>
  <conditionalFormatting sqref="T58:U58">
    <cfRule type="cellIs" dxfId="13" priority="83" stopIfTrue="1" operator="equal">
      <formula>"Mag.Visual ?"</formula>
    </cfRule>
  </conditionalFormatting>
  <conditionalFormatting sqref="V57:W57">
    <cfRule type="expression" dxfId="12" priority="215" stopIfTrue="1">
      <formula>($V$9+$W$9+$X$9)&lt;3</formula>
    </cfRule>
  </conditionalFormatting>
  <conditionalFormatting sqref="W10">
    <cfRule type="expression" dxfId="11" priority="126" stopIfTrue="1">
      <formula>IF($W$9=0,"Mag. Visual ?","")</formula>
    </cfRule>
  </conditionalFormatting>
  <conditionalFormatting sqref="W13">
    <cfRule type="expression" dxfId="10" priority="702" stopIfTrue="1">
      <formula>IF($X$13&gt;10,"seeing","")</formula>
    </cfRule>
  </conditionalFormatting>
  <conditionalFormatting sqref="W51:Y51">
    <cfRule type="expression" dxfId="9" priority="99" stopIfTrue="1">
      <formula>#REF!="E"</formula>
    </cfRule>
  </conditionalFormatting>
  <conditionalFormatting sqref="X13">
    <cfRule type="cellIs" dxfId="8" priority="219" stopIfTrue="1" operator="between">
      <formula>10</formula>
      <formula>7</formula>
    </cfRule>
    <cfRule type="cellIs" dxfId="7" priority="220" stopIfTrue="1" operator="between">
      <formula>6.99</formula>
      <formula>5</formula>
    </cfRule>
    <cfRule type="cellIs" dxfId="6" priority="221" stopIfTrue="1" operator="lessThan">
      <formula>5</formula>
    </cfRule>
  </conditionalFormatting>
  <conditionalFormatting sqref="X57">
    <cfRule type="expression" dxfId="5" priority="69" stopIfTrue="1">
      <formula>G55&lt;180</formula>
    </cfRule>
  </conditionalFormatting>
  <conditionalFormatting sqref="Y52:Y53">
    <cfRule type="expression" dxfId="4" priority="100" stopIfTrue="1">
      <formula>#REF!="V"</formula>
    </cfRule>
  </conditionalFormatting>
  <conditionalFormatting sqref="Y54:Y55">
    <cfRule type="expression" dxfId="3" priority="96" stopIfTrue="1">
      <formula>#REF!="V"</formula>
    </cfRule>
  </conditionalFormatting>
  <conditionalFormatting sqref="AA15">
    <cfRule type="aboveAverage" dxfId="2" priority="48" stopIfTrue="1" stdDev="1"/>
    <cfRule type="top10" dxfId="1" priority="49" stopIfTrue="1" percent="1" bottom="1" rank="10"/>
    <cfRule type="top10" dxfId="0" priority="50" stopIfTrue="1" percent="1" rank="10"/>
  </conditionalFormatting>
  <hyperlinks>
    <hyperlink ref="G34:I34" r:id="rId1" display="TABLA_06" xr:uid="{00000000-0004-0000-0000-000000000000}"/>
    <hyperlink ref="Q44" r:id="rId2" location="SISTEMAS de GRABACION" display="Formato escogido" xr:uid="{00000000-0004-0000-0000-000001000000}"/>
    <hyperlink ref="S35:X35" r:id="rId3" display="&quot;Relación Señal Ruido, en cielo profundo...&quot;" xr:uid="{00000000-0004-0000-0000-000002000000}"/>
    <hyperlink ref="R59:S59" r:id="rId4" display="ISO y tiempo ±" xr:uid="{00000000-0004-0000-0000-000003000000}"/>
    <hyperlink ref="Q88:V88" r:id="rId5" display="Cambio de hora en España, Marzo (-2) y Octubre (-1)" xr:uid="{00000000-0004-0000-0000-000004000000}"/>
    <hyperlink ref="U93" r:id="rId6" display="http://www.astropractica.org" xr:uid="{00000000-0004-0000-0000-000005000000}"/>
    <hyperlink ref="C35:D35" r:id="rId7" location="%transferencia" display="Filtros  % Transmisión" xr:uid="{00000000-0004-0000-0000-000007000000}"/>
    <hyperlink ref="S14" r:id="rId8" location="BORTLE" xr:uid="{00000000-0004-0000-0000-000008000000}"/>
    <hyperlink ref="U93:X93" r:id="rId9" display="https://www.astropractica.org" xr:uid="{00000000-0004-0000-0000-000009000000}"/>
    <hyperlink ref="V14:X14" r:id="rId10" display=" imágenes orientativas" xr:uid="{8016E5D0-2337-4DCB-8A45-0FEB4644A747}"/>
    <hyperlink ref="Q93:S93" r:id="rId11" display="mailto:jmp.astropractica@gmail.com" xr:uid="{DD7D51BC-82EB-4092-AECD-CBE376F2F5A8}"/>
  </hyperlinks>
  <printOptions horizontalCentered="1"/>
  <pageMargins left="0.7" right="0.7" top="0.75" bottom="0.75" header="0.3" footer="0.3"/>
  <pageSetup paperSize="9" scale="37" orientation="landscape" horizontalDpi="200" verticalDpi="200" r:id="rId12"/>
  <headerFooter alignWithMargins="0"/>
  <cellWatches>
    <cellWatch r="W9"/>
  </cellWatches>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W68"/>
  <sheetViews>
    <sheetView showGridLines="0" showRowColHeaders="0" topLeftCell="A12" zoomScaleNormal="100" zoomScaleSheetLayoutView="100" workbookViewId="0">
      <selection activeCell="C30" sqref="C30"/>
    </sheetView>
  </sheetViews>
  <sheetFormatPr baseColWidth="10" defaultColWidth="12.77734375" defaultRowHeight="14.25" x14ac:dyDescent="0.2"/>
  <cols>
    <col min="1" max="1" width="1" style="186" customWidth="1"/>
    <col min="2" max="2" width="11.77734375" style="186" customWidth="1"/>
    <col min="3" max="3" width="14.77734375" style="186" customWidth="1"/>
    <col min="4" max="5" width="13.77734375" style="186" customWidth="1"/>
    <col min="6" max="6" width="2.33203125" style="186" customWidth="1"/>
    <col min="7" max="7" width="13.77734375" style="186" customWidth="1"/>
    <col min="8" max="8" width="5.77734375" style="186" customWidth="1"/>
    <col min="9" max="9" width="8.77734375" style="186" customWidth="1"/>
    <col min="10" max="10" width="5.77734375" style="203" customWidth="1"/>
    <col min="11" max="11" width="3.6640625" style="186" customWidth="1"/>
    <col min="12" max="12" width="0.88671875" style="186" hidden="1" customWidth="1"/>
    <col min="13" max="13" width="11.21875" style="186" customWidth="1"/>
    <col min="14" max="14" width="9.33203125" style="204" customWidth="1"/>
    <col min="15" max="15" width="1.33203125" style="186" customWidth="1"/>
    <col min="16" max="16" width="23.109375" style="186" bestFit="1" customWidth="1"/>
    <col min="17" max="16384" width="12.77734375" style="186"/>
  </cols>
  <sheetData>
    <row r="1" spans="1:15" ht="9.9499999999999993" customHeight="1" thickTop="1" x14ac:dyDescent="0.2">
      <c r="A1" s="185"/>
      <c r="B1" s="1109" t="s">
        <v>204</v>
      </c>
      <c r="C1" s="1110"/>
      <c r="D1" s="1110"/>
      <c r="E1" s="1110"/>
      <c r="F1" s="1110"/>
      <c r="G1" s="1110"/>
      <c r="H1" s="1110"/>
      <c r="I1" s="1110"/>
      <c r="J1" s="1110"/>
      <c r="K1" s="1110"/>
      <c r="L1" s="1110"/>
      <c r="M1" s="1110"/>
      <c r="N1" s="1110"/>
      <c r="O1" s="1111"/>
    </row>
    <row r="2" spans="1:15" ht="25.15" customHeight="1" x14ac:dyDescent="0.2">
      <c r="A2" s="187"/>
      <c r="B2" s="1112"/>
      <c r="C2" s="1112"/>
      <c r="D2" s="1112"/>
      <c r="E2" s="1112"/>
      <c r="F2" s="1112"/>
      <c r="G2" s="1112"/>
      <c r="H2" s="1112"/>
      <c r="I2" s="1112"/>
      <c r="J2" s="1112"/>
      <c r="K2" s="1112"/>
      <c r="L2" s="1112"/>
      <c r="M2" s="1112"/>
      <c r="N2" s="1112"/>
      <c r="O2" s="1113"/>
    </row>
    <row r="3" spans="1:15" ht="20.100000000000001" customHeight="1" x14ac:dyDescent="0.2">
      <c r="A3" s="263"/>
      <c r="B3" s="1114" t="s">
        <v>213</v>
      </c>
      <c r="C3" s="1115"/>
      <c r="D3" s="1115"/>
      <c r="E3" s="1115"/>
      <c r="F3" s="1115"/>
      <c r="G3" s="1115"/>
      <c r="H3" s="1115"/>
      <c r="I3" s="1115"/>
      <c r="J3" s="1115"/>
      <c r="K3" s="1115"/>
      <c r="L3" s="1115"/>
      <c r="M3" s="1115"/>
      <c r="N3" s="1115"/>
      <c r="O3" s="1116"/>
    </row>
    <row r="4" spans="1:15" ht="20.65" customHeight="1" x14ac:dyDescent="0.2">
      <c r="A4" s="263"/>
      <c r="B4" s="1115"/>
      <c r="C4" s="1115"/>
      <c r="D4" s="1115"/>
      <c r="E4" s="1115"/>
      <c r="F4" s="1115"/>
      <c r="G4" s="1115"/>
      <c r="H4" s="1115"/>
      <c r="I4" s="1115"/>
      <c r="J4" s="1115"/>
      <c r="K4" s="1115"/>
      <c r="L4" s="1115"/>
      <c r="M4" s="1115"/>
      <c r="N4" s="1115"/>
      <c r="O4" s="1116"/>
    </row>
    <row r="5" spans="1:15" s="191" customFormat="1" ht="20.100000000000001" customHeight="1" x14ac:dyDescent="0.25">
      <c r="A5" s="264"/>
      <c r="B5" s="1123" t="s">
        <v>226</v>
      </c>
      <c r="C5" s="1124"/>
      <c r="D5" s="1124"/>
      <c r="E5" s="1124"/>
      <c r="F5" s="1124"/>
      <c r="G5" s="1124"/>
      <c r="H5" s="1124"/>
      <c r="I5" s="1124"/>
      <c r="J5" s="1124"/>
      <c r="K5" s="1124"/>
      <c r="L5" s="225"/>
      <c r="M5" s="225"/>
      <c r="N5" s="219"/>
      <c r="O5" s="265"/>
    </row>
    <row r="6" spans="1:15" s="191" customFormat="1" ht="20.100000000000001" customHeight="1" x14ac:dyDescent="0.25">
      <c r="A6" s="264"/>
      <c r="B6" s="1124"/>
      <c r="C6" s="1124"/>
      <c r="D6" s="1124"/>
      <c r="E6" s="1124"/>
      <c r="F6" s="1124"/>
      <c r="G6" s="1124"/>
      <c r="H6" s="1124"/>
      <c r="I6" s="1124"/>
      <c r="J6" s="1124"/>
      <c r="K6" s="1124"/>
      <c r="L6" s="225"/>
      <c r="M6" s="225"/>
      <c r="N6" s="219"/>
      <c r="O6" s="265"/>
    </row>
    <row r="7" spans="1:15" s="191" customFormat="1" ht="22.9" customHeight="1" x14ac:dyDescent="0.25">
      <c r="A7" s="264"/>
      <c r="B7" s="1125"/>
      <c r="C7" s="1125"/>
      <c r="D7" s="1125"/>
      <c r="E7" s="1125"/>
      <c r="F7" s="1125"/>
      <c r="G7" s="1125"/>
      <c r="H7" s="1125"/>
      <c r="I7" s="1125"/>
      <c r="J7" s="1125"/>
      <c r="K7" s="1125"/>
      <c r="L7" s="225"/>
      <c r="M7" s="225"/>
      <c r="N7" s="219"/>
      <c r="O7" s="265"/>
    </row>
    <row r="8" spans="1:15" s="191" customFormat="1" ht="20.100000000000001" customHeight="1" x14ac:dyDescent="0.25">
      <c r="A8" s="264"/>
      <c r="B8" s="1123" t="s">
        <v>241</v>
      </c>
      <c r="C8" s="1124"/>
      <c r="D8" s="1124"/>
      <c r="E8" s="1124"/>
      <c r="F8" s="1124"/>
      <c r="G8" s="1124"/>
      <c r="H8" s="1124"/>
      <c r="I8" s="1124"/>
      <c r="J8" s="1124"/>
      <c r="K8" s="1124"/>
      <c r="L8" s="225"/>
      <c r="M8" s="225"/>
      <c r="N8" s="266"/>
      <c r="O8" s="267"/>
    </row>
    <row r="9" spans="1:15" s="191" customFormat="1" ht="20.100000000000001" customHeight="1" x14ac:dyDescent="0.25">
      <c r="A9" s="264"/>
      <c r="B9" s="1123"/>
      <c r="C9" s="1124"/>
      <c r="D9" s="1124"/>
      <c r="E9" s="1124"/>
      <c r="F9" s="1124"/>
      <c r="G9" s="1124"/>
      <c r="H9" s="1124"/>
      <c r="I9" s="1124"/>
      <c r="J9" s="1124"/>
      <c r="K9" s="1124"/>
      <c r="L9" s="225"/>
      <c r="M9" s="225"/>
      <c r="N9" s="266"/>
      <c r="O9" s="268"/>
    </row>
    <row r="10" spans="1:15" s="191" customFormat="1" ht="20.100000000000001" customHeight="1" thickBot="1" x14ac:dyDescent="0.3">
      <c r="A10" s="264"/>
      <c r="B10" s="1124"/>
      <c r="C10" s="1124"/>
      <c r="D10" s="1124"/>
      <c r="E10" s="1124"/>
      <c r="F10" s="1124"/>
      <c r="G10" s="1124"/>
      <c r="H10" s="1124"/>
      <c r="I10" s="1124"/>
      <c r="J10" s="1124"/>
      <c r="K10" s="1124"/>
      <c r="L10" s="225"/>
      <c r="M10" s="1127" t="s">
        <v>212</v>
      </c>
      <c r="N10" s="1128"/>
      <c r="O10" s="269"/>
    </row>
    <row r="11" spans="1:15" ht="20.100000000000001" customHeight="1" thickTop="1" x14ac:dyDescent="0.25">
      <c r="A11" s="264"/>
      <c r="B11" s="318" t="s">
        <v>247</v>
      </c>
      <c r="C11" s="270">
        <v>0.25</v>
      </c>
      <c r="D11" s="1129" t="s">
        <v>333</v>
      </c>
      <c r="E11" s="1061"/>
      <c r="F11" s="1061"/>
      <c r="G11" s="1061"/>
      <c r="H11" s="1061"/>
      <c r="I11" s="1061"/>
      <c r="J11" s="1061"/>
      <c r="K11" s="1061"/>
      <c r="L11" s="271"/>
      <c r="M11" s="271"/>
      <c r="N11" s="272"/>
      <c r="O11" s="273"/>
    </row>
    <row r="12" spans="1:15" ht="24.75" customHeight="1" thickBot="1" x14ac:dyDescent="0.3">
      <c r="A12" s="264"/>
      <c r="B12" s="219" t="s">
        <v>156</v>
      </c>
      <c r="C12" s="274">
        <f>$C$11/(TAN(1*PI()/180))</f>
        <v>14.322490407689857</v>
      </c>
      <c r="D12" s="1061"/>
      <c r="E12" s="1061"/>
      <c r="F12" s="1061"/>
      <c r="G12" s="1061"/>
      <c r="H12" s="1061"/>
      <c r="I12" s="1061"/>
      <c r="J12" s="1061"/>
      <c r="K12" s="1061"/>
      <c r="L12" s="225"/>
      <c r="M12" s="225"/>
      <c r="N12" s="219"/>
      <c r="O12" s="273"/>
    </row>
    <row r="13" spans="1:15" ht="20.100000000000001" customHeight="1" thickTop="1" x14ac:dyDescent="0.25">
      <c r="A13" s="264"/>
      <c r="B13" s="1124" t="s">
        <v>334</v>
      </c>
      <c r="C13" s="1022"/>
      <c r="D13" s="1022"/>
      <c r="E13" s="1130"/>
      <c r="F13" s="1051" t="s">
        <v>335</v>
      </c>
      <c r="G13" s="1051"/>
      <c r="H13" s="260"/>
      <c r="I13" s="260"/>
      <c r="J13" s="260"/>
      <c r="K13" s="260"/>
      <c r="L13" s="225"/>
      <c r="M13" s="225"/>
      <c r="N13" s="219"/>
      <c r="O13" s="273"/>
    </row>
    <row r="14" spans="1:15" ht="30" customHeight="1" x14ac:dyDescent="0.25">
      <c r="A14" s="189"/>
      <c r="B14" s="1121" t="s">
        <v>202</v>
      </c>
      <c r="C14" s="1122"/>
      <c r="D14" s="1122"/>
      <c r="E14" s="1122"/>
      <c r="F14" s="1122"/>
      <c r="G14" s="1122"/>
      <c r="H14" s="1122"/>
      <c r="I14" s="1122"/>
      <c r="J14" s="1122"/>
      <c r="K14" s="1122"/>
      <c r="L14" s="190"/>
      <c r="M14" s="190"/>
      <c r="N14" s="193"/>
      <c r="O14" s="192"/>
    </row>
    <row r="15" spans="1:15" ht="39.950000000000003" customHeight="1" x14ac:dyDescent="0.25">
      <c r="A15" s="189"/>
      <c r="B15" s="1058" t="s">
        <v>255</v>
      </c>
      <c r="C15" s="1059"/>
      <c r="D15" s="1059"/>
      <c r="E15" s="1059"/>
      <c r="F15" s="1059"/>
      <c r="G15" s="1059"/>
      <c r="H15" s="1059"/>
      <c r="I15" s="1059"/>
      <c r="J15" s="1059"/>
      <c r="K15" s="1059"/>
      <c r="L15" s="194"/>
      <c r="M15" s="194"/>
      <c r="N15" s="193"/>
      <c r="O15" s="184" t="s">
        <v>203</v>
      </c>
    </row>
    <row r="16" spans="1:15" ht="20.45" customHeight="1" x14ac:dyDescent="0.25">
      <c r="A16" s="189"/>
      <c r="B16" s="1066" t="s">
        <v>336</v>
      </c>
      <c r="C16" s="1067"/>
      <c r="D16" s="1067"/>
      <c r="E16" s="1067"/>
      <c r="F16" s="1067"/>
      <c r="G16" s="1067"/>
      <c r="H16" s="1067"/>
      <c r="I16" s="1067"/>
      <c r="J16" s="1067"/>
      <c r="K16" s="1067"/>
      <c r="L16" s="194"/>
      <c r="M16" s="194"/>
      <c r="N16" s="193"/>
      <c r="O16" s="184"/>
    </row>
    <row r="17" spans="1:23" ht="11.65" customHeight="1" x14ac:dyDescent="0.25">
      <c r="A17" s="189"/>
      <c r="B17" s="1068"/>
      <c r="C17" s="1068"/>
      <c r="D17" s="1068"/>
      <c r="E17" s="1068"/>
      <c r="F17" s="1068"/>
      <c r="G17" s="1068"/>
      <c r="H17" s="1068"/>
      <c r="I17" s="1068"/>
      <c r="J17" s="1068"/>
      <c r="K17" s="1068"/>
      <c r="L17" s="194"/>
      <c r="M17" s="194"/>
      <c r="N17" s="193"/>
      <c r="O17" s="184"/>
    </row>
    <row r="18" spans="1:23" ht="17.100000000000001" customHeight="1" x14ac:dyDescent="0.25">
      <c r="A18" s="189"/>
      <c r="B18" s="1126" t="s">
        <v>230</v>
      </c>
      <c r="C18" s="1126"/>
      <c r="D18" s="1126"/>
      <c r="E18" s="1126"/>
      <c r="F18" s="1126"/>
      <c r="G18" s="1126"/>
      <c r="H18" s="1126"/>
      <c r="I18" s="1126"/>
      <c r="J18" s="1126"/>
      <c r="K18" s="1126"/>
      <c r="L18" s="210"/>
      <c r="M18" s="1054"/>
      <c r="N18" s="1055"/>
      <c r="O18" s="184"/>
    </row>
    <row r="19" spans="1:23" s="326" customFormat="1" ht="30" customHeight="1" x14ac:dyDescent="0.3">
      <c r="A19" s="322"/>
      <c r="B19" s="1062" t="s">
        <v>291</v>
      </c>
      <c r="C19" s="1063"/>
      <c r="D19" s="1063"/>
      <c r="E19" s="1063"/>
      <c r="F19" s="1063"/>
      <c r="G19" s="1063"/>
      <c r="H19" s="1063"/>
      <c r="I19" s="1063"/>
      <c r="J19" s="1063"/>
      <c r="K19" s="1063"/>
      <c r="L19" s="323"/>
      <c r="M19" s="324"/>
      <c r="N19" s="193"/>
      <c r="O19" s="325"/>
    </row>
    <row r="20" spans="1:23" ht="30" customHeight="1" thickBot="1" x14ac:dyDescent="0.3">
      <c r="A20" s="189"/>
      <c r="B20" s="195" t="s">
        <v>289</v>
      </c>
      <c r="C20" s="211"/>
      <c r="D20" s="211"/>
      <c r="E20" s="211"/>
      <c r="F20" s="211"/>
      <c r="G20" s="211"/>
      <c r="H20" s="211"/>
      <c r="I20" s="211"/>
      <c r="J20" s="212"/>
      <c r="K20" s="211"/>
      <c r="L20" s="210"/>
      <c r="M20" s="1056" t="s">
        <v>252</v>
      </c>
      <c r="N20" s="1057"/>
      <c r="O20" s="184"/>
    </row>
    <row r="21" spans="1:23" ht="20.45" customHeight="1" thickTop="1" thickBot="1" x14ac:dyDescent="0.3">
      <c r="A21" s="189"/>
      <c r="B21" s="318" t="s">
        <v>248</v>
      </c>
      <c r="C21" s="214">
        <f>(ATAN($C$24/3600)/((180/PI()))*$D$22)</f>
        <v>120524.68561299607</v>
      </c>
      <c r="D21" s="211"/>
      <c r="E21" s="216">
        <v>0.47916666666666669</v>
      </c>
      <c r="F21" s="217"/>
      <c r="G21" s="341"/>
      <c r="H21" s="1071" t="s">
        <v>259</v>
      </c>
      <c r="I21" s="1072"/>
      <c r="J21" s="1069">
        <v>0.5</v>
      </c>
      <c r="K21" s="1070"/>
      <c r="L21" s="218"/>
      <c r="M21" s="215">
        <v>42897</v>
      </c>
      <c r="N21" s="327"/>
      <c r="O21" s="184"/>
      <c r="P21" s="196"/>
      <c r="Q21" s="196"/>
      <c r="R21" s="196"/>
      <c r="S21" s="196"/>
      <c r="T21" s="196"/>
      <c r="U21" s="196"/>
      <c r="V21" s="196"/>
      <c r="W21" s="196"/>
    </row>
    <row r="22" spans="1:23" ht="20.100000000000001" customHeight="1" thickTop="1" thickBot="1" x14ac:dyDescent="0.3">
      <c r="A22" s="189"/>
      <c r="B22" s="219" t="s">
        <v>249</v>
      </c>
      <c r="C22" s="320">
        <v>9.2889999999999997</v>
      </c>
      <c r="D22" s="343">
        <f>$C$22*$D$39</f>
        <v>1389614620.8486991</v>
      </c>
      <c r="E22" s="221" t="s">
        <v>231</v>
      </c>
      <c r="F22" s="222"/>
      <c r="G22" s="222"/>
      <c r="H22" s="222"/>
      <c r="I22" s="222"/>
      <c r="J22" s="222"/>
      <c r="K22" s="222"/>
      <c r="L22" s="222"/>
      <c r="M22" s="319"/>
      <c r="N22" s="193"/>
      <c r="O22" s="184"/>
      <c r="P22" s="196"/>
      <c r="Q22" s="196"/>
      <c r="R22" s="196"/>
      <c r="S22" s="196"/>
      <c r="T22" s="196"/>
      <c r="U22" s="196"/>
      <c r="V22" s="196"/>
      <c r="W22" s="196"/>
    </row>
    <row r="23" spans="1:23" ht="20.100000000000001" customHeight="1" x14ac:dyDescent="0.25">
      <c r="A23" s="189"/>
      <c r="B23" s="1075" t="s">
        <v>314</v>
      </c>
      <c r="C23" s="223">
        <f>C24/60</f>
        <v>0.29816666666666669</v>
      </c>
      <c r="D23" s="1060" t="s">
        <v>315</v>
      </c>
      <c r="E23" s="1061"/>
      <c r="F23" s="1061"/>
      <c r="G23" s="1061"/>
      <c r="H23" s="1081" t="s">
        <v>216</v>
      </c>
      <c r="I23" s="1081"/>
      <c r="J23" s="1081"/>
      <c r="K23" s="1081"/>
      <c r="L23" s="1081"/>
      <c r="M23" s="1081"/>
      <c r="N23" s="1081"/>
      <c r="O23" s="184"/>
      <c r="P23" s="196"/>
      <c r="Q23" s="196"/>
      <c r="R23" s="196"/>
      <c r="S23" s="196"/>
      <c r="T23" s="196"/>
      <c r="U23" s="196"/>
      <c r="V23" s="196"/>
      <c r="W23" s="196"/>
    </row>
    <row r="24" spans="1:23" ht="20.100000000000001" customHeight="1" thickBot="1" x14ac:dyDescent="0.3">
      <c r="A24" s="189"/>
      <c r="B24" s="1076"/>
      <c r="C24" s="373">
        <v>17.89</v>
      </c>
      <c r="D24" s="211"/>
      <c r="E24" s="211"/>
      <c r="F24" s="211"/>
      <c r="G24" s="211"/>
      <c r="H24" s="211"/>
      <c r="I24" s="211"/>
      <c r="J24" s="212"/>
      <c r="K24" s="211"/>
      <c r="L24" s="210"/>
      <c r="M24" s="319"/>
      <c r="N24" s="193"/>
      <c r="O24" s="184"/>
    </row>
    <row r="25" spans="1:23" ht="30" customHeight="1" thickTop="1" thickBot="1" x14ac:dyDescent="0.3">
      <c r="A25" s="189"/>
      <c r="B25" s="195" t="s">
        <v>288</v>
      </c>
      <c r="C25" s="211"/>
      <c r="D25" s="211"/>
      <c r="E25" s="211"/>
      <c r="F25" s="211"/>
      <c r="G25" s="211"/>
      <c r="H25" s="211"/>
      <c r="I25" s="211"/>
      <c r="J25" s="212"/>
      <c r="K25" s="211"/>
      <c r="L25" s="211"/>
      <c r="M25" s="211"/>
      <c r="N25" s="193"/>
      <c r="O25" s="184"/>
    </row>
    <row r="26" spans="1:23" ht="20.45" customHeight="1" thickTop="1" thickBot="1" x14ac:dyDescent="0.3">
      <c r="A26" s="189"/>
      <c r="B26" s="318" t="s">
        <v>248</v>
      </c>
      <c r="C26" s="214">
        <v>142984</v>
      </c>
      <c r="D26" s="211"/>
      <c r="E26" s="216">
        <v>0.98958333333333337</v>
      </c>
      <c r="F26" s="217"/>
      <c r="G26" s="342"/>
      <c r="H26" s="1073" t="s">
        <v>260</v>
      </c>
      <c r="I26" s="1074"/>
      <c r="J26" s="1069">
        <v>-2.65</v>
      </c>
      <c r="K26" s="1070"/>
      <c r="L26" s="218"/>
      <c r="M26" s="215">
        <v>43722</v>
      </c>
      <c r="N26" s="218"/>
      <c r="O26" s="184"/>
      <c r="P26" s="196"/>
      <c r="Q26" s="196"/>
      <c r="R26" s="196"/>
      <c r="S26" s="196"/>
      <c r="T26" s="196"/>
      <c r="U26" s="196"/>
      <c r="V26" s="196"/>
      <c r="W26" s="196"/>
    </row>
    <row r="27" spans="1:23" ht="20.100000000000001" customHeight="1" thickTop="1" thickBot="1" x14ac:dyDescent="0.3">
      <c r="A27" s="189"/>
      <c r="B27" s="219" t="s">
        <v>249</v>
      </c>
      <c r="C27" s="320">
        <v>4.7930999999999999</v>
      </c>
      <c r="D27" s="343">
        <f>$C$27*$D$39</f>
        <v>717037554.00903213</v>
      </c>
      <c r="E27" s="221" t="s">
        <v>231</v>
      </c>
      <c r="F27" s="222"/>
      <c r="G27" s="222"/>
      <c r="H27" s="222"/>
      <c r="I27" s="222"/>
      <c r="J27" s="222"/>
      <c r="K27" s="222"/>
      <c r="L27" s="222"/>
      <c r="M27" s="222"/>
      <c r="N27" s="222"/>
      <c r="O27" s="184"/>
      <c r="P27" s="196"/>
      <c r="Q27" s="196"/>
      <c r="R27" s="196"/>
      <c r="S27" s="196"/>
      <c r="T27" s="196"/>
      <c r="U27" s="196"/>
      <c r="V27" s="196"/>
      <c r="W27" s="196"/>
    </row>
    <row r="28" spans="1:23" ht="20.100000000000001" customHeight="1" x14ac:dyDescent="0.25">
      <c r="A28" s="189"/>
      <c r="B28" s="1064" t="s">
        <v>250</v>
      </c>
      <c r="C28" s="223">
        <f>C29/60</f>
        <v>0.68500000000000005</v>
      </c>
      <c r="D28" s="1060" t="s">
        <v>215</v>
      </c>
      <c r="E28" s="1061"/>
      <c r="F28" s="1061"/>
      <c r="G28" s="1061"/>
      <c r="H28" s="1081" t="s">
        <v>216</v>
      </c>
      <c r="I28" s="1081"/>
      <c r="J28" s="1081"/>
      <c r="K28" s="1081"/>
      <c r="L28" s="1081"/>
      <c r="M28" s="1081"/>
      <c r="N28" s="1081"/>
      <c r="O28" s="184"/>
      <c r="P28" s="196"/>
      <c r="Q28" s="196"/>
      <c r="R28" s="196"/>
      <c r="S28" s="196"/>
      <c r="T28" s="196"/>
      <c r="U28" s="196"/>
      <c r="V28" s="196"/>
      <c r="W28" s="196"/>
    </row>
    <row r="29" spans="1:23" ht="20.100000000000001" customHeight="1" thickBot="1" x14ac:dyDescent="0.3">
      <c r="A29" s="189"/>
      <c r="B29" s="1065"/>
      <c r="C29" s="404">
        <v>41.1</v>
      </c>
      <c r="D29" s="211"/>
      <c r="E29" s="211"/>
      <c r="F29" s="211"/>
      <c r="G29" s="211"/>
      <c r="H29" s="211"/>
      <c r="I29" s="211"/>
      <c r="J29" s="212"/>
      <c r="K29" s="211"/>
      <c r="L29" s="210"/>
      <c r="M29" s="210"/>
      <c r="N29" s="224"/>
      <c r="O29" s="184"/>
    </row>
    <row r="30" spans="1:23" s="198" customFormat="1" ht="35.1" customHeight="1" thickTop="1" thickBot="1" x14ac:dyDescent="0.25">
      <c r="A30" s="188"/>
      <c r="B30" s="195" t="s">
        <v>287</v>
      </c>
      <c r="C30" s="225"/>
      <c r="D30" s="225"/>
      <c r="E30" s="225"/>
      <c r="F30" s="225"/>
      <c r="G30" s="225"/>
      <c r="H30" s="225"/>
      <c r="I30" s="225"/>
      <c r="J30" s="226"/>
      <c r="K30" s="225"/>
      <c r="L30" s="225"/>
      <c r="M30" s="225"/>
      <c r="N30" s="219"/>
      <c r="O30" s="197" t="s">
        <v>203</v>
      </c>
    </row>
    <row r="31" spans="1:23" ht="20.100000000000001" customHeight="1" thickTop="1" thickBot="1" x14ac:dyDescent="0.3">
      <c r="A31" s="188"/>
      <c r="B31" s="318" t="s">
        <v>247</v>
      </c>
      <c r="C31" s="214">
        <v>3474.8</v>
      </c>
      <c r="D31" s="227" t="s">
        <v>307</v>
      </c>
      <c r="E31" s="228">
        <v>47.1</v>
      </c>
      <c r="F31" s="1084">
        <v>84</v>
      </c>
      <c r="G31" s="1085"/>
      <c r="H31" s="1082">
        <v>11.31</v>
      </c>
      <c r="I31" s="1083"/>
      <c r="J31" s="1069">
        <v>-12.23</v>
      </c>
      <c r="K31" s="1086"/>
      <c r="L31" s="229"/>
      <c r="M31" s="230">
        <v>43617</v>
      </c>
      <c r="N31" s="219"/>
      <c r="O31" s="199"/>
      <c r="Q31" s="200"/>
      <c r="R31" s="200"/>
      <c r="S31" s="200"/>
      <c r="T31" s="200"/>
      <c r="U31" s="200"/>
      <c r="V31" s="200"/>
      <c r="W31" s="200"/>
    </row>
    <row r="32" spans="1:23" ht="20.100000000000001" customHeight="1" thickTop="1" thickBot="1" x14ac:dyDescent="0.3">
      <c r="A32" s="188"/>
      <c r="B32" s="219" t="s">
        <v>249</v>
      </c>
      <c r="C32" s="321">
        <v>2.562E-3</v>
      </c>
      <c r="D32" s="220">
        <f>$C$32*$D$39</f>
        <v>383269.74471034203</v>
      </c>
      <c r="E32" s="1092"/>
      <c r="F32" s="1093"/>
      <c r="G32" s="1093"/>
      <c r="H32" s="1093"/>
      <c r="I32" s="1093"/>
      <c r="J32" s="1093"/>
      <c r="K32" s="1093"/>
      <c r="L32" s="1093"/>
      <c r="M32" s="1093"/>
      <c r="N32" s="1093"/>
      <c r="O32" s="199"/>
      <c r="P32" s="200"/>
      <c r="Q32" s="200"/>
      <c r="R32" s="200"/>
      <c r="S32" s="200"/>
      <c r="T32" s="200"/>
      <c r="U32" s="200"/>
      <c r="V32" s="200"/>
      <c r="W32" s="200"/>
    </row>
    <row r="33" spans="1:20" ht="20.100000000000001" customHeight="1" x14ac:dyDescent="0.2">
      <c r="A33" s="188"/>
      <c r="B33" s="1064" t="s">
        <v>250</v>
      </c>
      <c r="C33" s="223">
        <f>C34/60</f>
        <v>31</v>
      </c>
      <c r="D33" s="1096" t="s">
        <v>264</v>
      </c>
      <c r="E33" s="1097"/>
      <c r="F33" s="1097"/>
      <c r="G33" s="1097"/>
      <c r="H33" s="1097"/>
      <c r="I33" s="1097"/>
      <c r="J33" s="1097"/>
      <c r="K33" s="1097"/>
      <c r="L33" s="1097"/>
      <c r="M33" s="1097"/>
      <c r="N33" s="1097"/>
      <c r="O33" s="201"/>
    </row>
    <row r="34" spans="1:20" ht="20.100000000000001" customHeight="1" thickBot="1" x14ac:dyDescent="0.25">
      <c r="A34" s="188"/>
      <c r="B34" s="1065"/>
      <c r="C34" s="373">
        <f>31*60</f>
        <v>1860</v>
      </c>
      <c r="D34" s="1097"/>
      <c r="E34" s="1097"/>
      <c r="F34" s="1097"/>
      <c r="G34" s="1097"/>
      <c r="H34" s="1097"/>
      <c r="I34" s="1097"/>
      <c r="J34" s="1097"/>
      <c r="K34" s="1097"/>
      <c r="L34" s="1097"/>
      <c r="M34" s="1097"/>
      <c r="N34" s="1097"/>
      <c r="O34" s="201"/>
    </row>
    <row r="35" spans="1:20" ht="20.100000000000001" customHeight="1" thickTop="1" x14ac:dyDescent="0.2">
      <c r="A35" s="188"/>
      <c r="B35" s="231"/>
      <c r="C35" s="232" t="s">
        <v>227</v>
      </c>
      <c r="D35" s="233"/>
      <c r="E35" s="233"/>
      <c r="F35" s="233"/>
      <c r="G35" s="233"/>
      <c r="H35" s="234" t="s">
        <v>2</v>
      </c>
      <c r="I35" s="235"/>
      <c r="J35" s="236"/>
      <c r="K35" s="237"/>
      <c r="L35" s="235"/>
      <c r="M35" s="235"/>
      <c r="N35" s="235"/>
      <c r="O35" s="201"/>
    </row>
    <row r="36" spans="1:20" ht="30" customHeight="1" thickBot="1" x14ac:dyDescent="0.3">
      <c r="A36" s="188"/>
      <c r="B36" s="195" t="s">
        <v>300</v>
      </c>
      <c r="C36" s="225"/>
      <c r="D36" s="225"/>
      <c r="E36" s="225"/>
      <c r="F36" s="225"/>
      <c r="G36" s="225"/>
      <c r="H36" s="225"/>
      <c r="I36" s="225"/>
      <c r="J36" s="226"/>
      <c r="K36" s="225"/>
      <c r="L36" s="238"/>
      <c r="M36" s="238"/>
      <c r="N36" s="239"/>
      <c r="O36" s="192"/>
    </row>
    <row r="37" spans="1:20" ht="20.100000000000001" customHeight="1" thickTop="1" thickBot="1" x14ac:dyDescent="0.3">
      <c r="A37" s="188"/>
      <c r="B37" s="318" t="s">
        <v>247</v>
      </c>
      <c r="C37" s="240">
        <v>1391400</v>
      </c>
      <c r="D37" s="374">
        <v>0.02</v>
      </c>
      <c r="E37" s="376">
        <v>1.4999999999999999E-2</v>
      </c>
      <c r="F37" s="1119">
        <v>0.2</v>
      </c>
      <c r="G37" s="1120"/>
      <c r="H37" s="1079" t="s">
        <v>341</v>
      </c>
      <c r="I37" s="1080"/>
      <c r="J37" s="1069">
        <v>-26.72</v>
      </c>
      <c r="K37" s="1086"/>
      <c r="L37" s="315"/>
      <c r="M37" s="230">
        <v>43612</v>
      </c>
      <c r="N37" s="241"/>
      <c r="O37" s="201"/>
      <c r="P37" s="202"/>
      <c r="Q37" s="202"/>
      <c r="R37" s="202"/>
      <c r="S37" s="202"/>
      <c r="T37" s="202"/>
    </row>
    <row r="38" spans="1:20" ht="20.100000000000001" customHeight="1" thickTop="1" thickBot="1" x14ac:dyDescent="0.3">
      <c r="A38" s="188"/>
      <c r="B38" s="213"/>
      <c r="C38" s="242" t="s">
        <v>228</v>
      </c>
      <c r="D38" s="433">
        <f>$D$37*$C$37/$F$37</f>
        <v>139140</v>
      </c>
      <c r="E38" s="370">
        <f>$E$37*$C$37/$F$37</f>
        <v>104355</v>
      </c>
      <c r="F38" s="369" t="s">
        <v>195</v>
      </c>
      <c r="G38" s="243">
        <f>IF($D$38=$E$38,$D$38,(SQRT($D$38^2+$E$38^2)))</f>
        <v>173925</v>
      </c>
      <c r="H38" s="1089" t="s">
        <v>332</v>
      </c>
      <c r="I38" s="1090"/>
      <c r="J38" s="1090"/>
      <c r="K38" s="1090"/>
      <c r="L38" s="1090"/>
      <c r="M38" s="1090"/>
      <c r="N38" s="1090"/>
      <c r="O38" s="201"/>
      <c r="P38" s="202"/>
      <c r="Q38" s="202"/>
      <c r="R38" s="202"/>
      <c r="S38" s="202"/>
      <c r="T38" s="202"/>
    </row>
    <row r="39" spans="1:20" ht="20.100000000000001" customHeight="1" thickTop="1" thickBot="1" x14ac:dyDescent="0.25">
      <c r="A39" s="188"/>
      <c r="B39" s="219" t="s">
        <v>249</v>
      </c>
      <c r="C39" s="368">
        <v>1.014</v>
      </c>
      <c r="D39" s="1094">
        <f>149597870.691</f>
        <v>149597870.69100001</v>
      </c>
      <c r="E39" s="1095"/>
      <c r="F39" s="1103">
        <f>$C$39*$D$39</f>
        <v>151692240.880674</v>
      </c>
      <c r="G39" s="1104"/>
      <c r="H39" s="1091"/>
      <c r="I39" s="1090"/>
      <c r="J39" s="1090"/>
      <c r="K39" s="1090"/>
      <c r="L39" s="1090"/>
      <c r="M39" s="1090"/>
      <c r="N39" s="1090"/>
      <c r="O39" s="201"/>
      <c r="P39" s="202"/>
      <c r="Q39" s="202"/>
      <c r="R39" s="202"/>
      <c r="S39" s="202"/>
      <c r="T39" s="202"/>
    </row>
    <row r="40" spans="1:20" ht="20.100000000000001" customHeight="1" thickTop="1" x14ac:dyDescent="0.2">
      <c r="A40" s="188"/>
      <c r="B40" s="1064" t="s">
        <v>250</v>
      </c>
      <c r="C40" s="375">
        <v>31.5</v>
      </c>
      <c r="D40" s="366">
        <f>D41/60</f>
        <v>3.15</v>
      </c>
      <c r="E40" s="367">
        <f>E41/60</f>
        <v>2.3624999999999994</v>
      </c>
      <c r="F40" s="1117" t="s">
        <v>195</v>
      </c>
      <c r="G40" s="244">
        <f>SQRT($D$40^2+$E$40^2)</f>
        <v>3.9374999999999996</v>
      </c>
      <c r="H40" s="1091"/>
      <c r="I40" s="1090"/>
      <c r="J40" s="1090"/>
      <c r="K40" s="1090"/>
      <c r="L40" s="1090"/>
      <c r="M40" s="1090"/>
      <c r="N40" s="1090"/>
      <c r="O40" s="201"/>
      <c r="P40" s="202"/>
      <c r="Q40" s="202"/>
      <c r="R40" s="202"/>
      <c r="S40" s="202"/>
      <c r="T40" s="202"/>
    </row>
    <row r="41" spans="1:20" ht="20.100000000000001" customHeight="1" thickBot="1" x14ac:dyDescent="0.25">
      <c r="A41" s="188"/>
      <c r="B41" s="1065"/>
      <c r="C41" s="395">
        <f>C40*60</f>
        <v>1890</v>
      </c>
      <c r="D41" s="245">
        <f>$D$37*$C$41/$F$37</f>
        <v>189</v>
      </c>
      <c r="E41" s="432">
        <f>$E$37*$C$41/$F$37</f>
        <v>141.74999999999997</v>
      </c>
      <c r="F41" s="1118"/>
      <c r="G41" s="246">
        <f>SQRT($D$41^2+$E$41^2)</f>
        <v>236.24999999999997</v>
      </c>
      <c r="H41" s="1091"/>
      <c r="I41" s="1090"/>
      <c r="J41" s="1090"/>
      <c r="K41" s="1090"/>
      <c r="L41" s="1090"/>
      <c r="M41" s="1090"/>
      <c r="N41" s="1090"/>
      <c r="O41" s="201"/>
      <c r="P41" s="202"/>
      <c r="Q41" s="202"/>
      <c r="R41" s="202"/>
      <c r="S41" s="202"/>
      <c r="T41" s="202"/>
    </row>
    <row r="42" spans="1:20" ht="20.100000000000001" customHeight="1" thickTop="1" x14ac:dyDescent="0.2">
      <c r="A42" s="188"/>
      <c r="B42" s="237"/>
      <c r="C42" s="1052" t="s">
        <v>286</v>
      </c>
      <c r="D42" s="1053"/>
      <c r="E42" s="1053"/>
      <c r="F42" s="1053"/>
      <c r="G42" s="1053"/>
      <c r="H42" s="1053"/>
      <c r="I42" s="1053"/>
      <c r="J42" s="1053"/>
      <c r="K42" s="1053"/>
      <c r="L42" s="1053"/>
      <c r="M42" s="1053"/>
      <c r="N42" s="1053"/>
      <c r="O42" s="247"/>
    </row>
    <row r="43" spans="1:20" ht="20.100000000000001" customHeight="1" x14ac:dyDescent="0.2">
      <c r="A43" s="188"/>
      <c r="B43" s="237"/>
      <c r="C43" s="1053"/>
      <c r="D43" s="1053"/>
      <c r="E43" s="1053"/>
      <c r="F43" s="1053"/>
      <c r="G43" s="1053"/>
      <c r="H43" s="1053"/>
      <c r="I43" s="1053"/>
      <c r="J43" s="1053"/>
      <c r="K43" s="1053"/>
      <c r="L43" s="1053"/>
      <c r="M43" s="1053"/>
      <c r="N43" s="1053"/>
      <c r="O43" s="247"/>
    </row>
    <row r="44" spans="1:20" ht="7.9" customHeight="1" x14ac:dyDescent="0.2">
      <c r="A44" s="188"/>
      <c r="B44" s="237"/>
      <c r="C44" s="1053"/>
      <c r="D44" s="1053"/>
      <c r="E44" s="1053"/>
      <c r="F44" s="1053"/>
      <c r="G44" s="1053"/>
      <c r="H44" s="1053"/>
      <c r="I44" s="1053"/>
      <c r="J44" s="1053"/>
      <c r="K44" s="1053"/>
      <c r="L44" s="1053"/>
      <c r="M44" s="1053"/>
      <c r="N44" s="1053"/>
      <c r="O44" s="247"/>
    </row>
    <row r="45" spans="1:20" ht="20.100000000000001" customHeight="1" thickBot="1" x14ac:dyDescent="0.3">
      <c r="A45" s="188"/>
      <c r="B45" s="338" t="s">
        <v>328</v>
      </c>
      <c r="C45" s="211"/>
      <c r="D45" s="211"/>
      <c r="E45" s="211"/>
      <c r="F45" s="211"/>
      <c r="G45" s="211"/>
      <c r="H45" s="211"/>
      <c r="I45" s="211"/>
      <c r="J45" s="212"/>
      <c r="K45" s="211"/>
      <c r="L45" s="210"/>
      <c r="M45" s="1054"/>
      <c r="N45" s="1055"/>
      <c r="O45" s="247"/>
    </row>
    <row r="46" spans="1:20" ht="20.100000000000001" customHeight="1" thickTop="1" thickBot="1" x14ac:dyDescent="0.3">
      <c r="A46" s="188"/>
      <c r="B46" s="318" t="s">
        <v>248</v>
      </c>
      <c r="C46" s="1107">
        <f>$D$47*TAN($C$49*(PI()/180)/3600)</f>
        <v>11966.970909547801</v>
      </c>
      <c r="D46" s="1108"/>
      <c r="E46" s="211"/>
      <c r="F46" s="211"/>
      <c r="G46" s="1134" t="s">
        <v>327</v>
      </c>
      <c r="H46" s="1135"/>
      <c r="I46" s="1136"/>
      <c r="J46" s="1069">
        <v>-4.21</v>
      </c>
      <c r="K46" s="1086"/>
      <c r="L46" s="315"/>
      <c r="M46" s="230">
        <v>43115</v>
      </c>
      <c r="N46" s="327"/>
      <c r="O46" s="247"/>
    </row>
    <row r="47" spans="1:20" ht="20.100000000000001" customHeight="1" thickTop="1" thickBot="1" x14ac:dyDescent="0.25">
      <c r="A47" s="188"/>
      <c r="B47" s="219" t="s">
        <v>249</v>
      </c>
      <c r="C47" s="320">
        <v>0.27500000000000002</v>
      </c>
      <c r="D47" s="339">
        <f>$C$47*$D$39</f>
        <v>41139414.440025009</v>
      </c>
      <c r="E47" s="1139" t="s">
        <v>275</v>
      </c>
      <c r="F47" s="1140"/>
      <c r="G47" s="1140"/>
      <c r="H47" s="1140"/>
      <c r="I47" s="1140"/>
      <c r="J47" s="1140"/>
      <c r="K47" s="1140"/>
      <c r="L47" s="1140"/>
      <c r="M47" s="1140"/>
      <c r="N47" s="1140"/>
      <c r="O47" s="247"/>
    </row>
    <row r="48" spans="1:20" ht="20.100000000000001" customHeight="1" thickTop="1" x14ac:dyDescent="0.2">
      <c r="A48" s="188"/>
      <c r="B48" s="1064" t="s">
        <v>250</v>
      </c>
      <c r="C48" s="223">
        <f>C49/60</f>
        <v>1</v>
      </c>
      <c r="D48" s="340"/>
      <c r="E48" s="1140"/>
      <c r="F48" s="1140"/>
      <c r="G48" s="1140"/>
      <c r="H48" s="1140"/>
      <c r="I48" s="1140"/>
      <c r="J48" s="1140"/>
      <c r="K48" s="1140"/>
      <c r="L48" s="1140"/>
      <c r="M48" s="1140"/>
      <c r="N48" s="1140"/>
      <c r="O48" s="247"/>
    </row>
    <row r="49" spans="1:17" ht="20.100000000000001" customHeight="1" thickBot="1" x14ac:dyDescent="0.25">
      <c r="A49" s="188"/>
      <c r="B49" s="1065"/>
      <c r="C49" s="373">
        <v>60</v>
      </c>
      <c r="D49" s="211"/>
      <c r="E49" s="1140"/>
      <c r="F49" s="1140"/>
      <c r="G49" s="1140"/>
      <c r="H49" s="1140"/>
      <c r="I49" s="1140"/>
      <c r="J49" s="1140"/>
      <c r="K49" s="1140"/>
      <c r="L49" s="1140"/>
      <c r="M49" s="1140"/>
      <c r="N49" s="1140"/>
      <c r="O49" s="247"/>
    </row>
    <row r="50" spans="1:17" ht="14.25" customHeight="1" thickTop="1" thickBot="1" x14ac:dyDescent="0.3">
      <c r="A50" s="188"/>
      <c r="B50" s="253"/>
      <c r="C50" s="254"/>
      <c r="D50" s="253"/>
      <c r="E50" s="253"/>
      <c r="F50" s="255"/>
      <c r="G50" s="255"/>
      <c r="H50" s="255"/>
      <c r="I50" s="255"/>
      <c r="J50" s="256"/>
      <c r="K50" s="255"/>
      <c r="L50" s="255"/>
      <c r="M50" s="255"/>
      <c r="N50" s="257"/>
      <c r="O50" s="258"/>
    </row>
    <row r="51" spans="1:17" s="326" customFormat="1" ht="30" customHeight="1" thickTop="1" x14ac:dyDescent="0.25">
      <c r="A51" s="322"/>
      <c r="B51" s="1131" t="s">
        <v>290</v>
      </c>
      <c r="C51" s="1132"/>
      <c r="D51" s="1132"/>
      <c r="E51" s="1132"/>
      <c r="F51" s="1132"/>
      <c r="G51" s="1132"/>
      <c r="H51" s="1132"/>
      <c r="I51" s="1132"/>
      <c r="J51" s="1132"/>
      <c r="K51" s="1132"/>
      <c r="L51" s="1133"/>
      <c r="M51" s="1133"/>
      <c r="N51" s="193"/>
      <c r="O51" s="325"/>
    </row>
    <row r="52" spans="1:17" ht="50.1" customHeight="1" thickBot="1" x14ac:dyDescent="0.25">
      <c r="A52" s="188"/>
      <c r="B52" s="1141" t="s">
        <v>263</v>
      </c>
      <c r="C52" s="1142"/>
      <c r="D52" s="1142"/>
      <c r="E52" s="1142"/>
      <c r="F52" s="1142"/>
      <c r="G52" s="1142"/>
      <c r="H52" s="1142"/>
      <c r="I52" s="1142"/>
      <c r="J52" s="1142"/>
      <c r="K52" s="1142"/>
      <c r="L52" s="1142"/>
      <c r="M52" s="1142"/>
      <c r="N52" s="1142"/>
      <c r="O52" s="259"/>
    </row>
    <row r="53" spans="1:17" ht="20.100000000000001" customHeight="1" thickTop="1" thickBot="1" x14ac:dyDescent="0.25">
      <c r="A53" s="188"/>
      <c r="B53" s="318" t="s">
        <v>247</v>
      </c>
      <c r="C53" s="1107">
        <v>10000</v>
      </c>
      <c r="D53" s="1108"/>
      <c r="E53" s="211"/>
      <c r="F53" s="211"/>
      <c r="G53" s="1137" t="s">
        <v>345</v>
      </c>
      <c r="H53" s="1138"/>
      <c r="I53" s="1070"/>
      <c r="J53" s="1105">
        <v>4.9000000000000004</v>
      </c>
      <c r="K53" s="1106"/>
      <c r="L53" s="260"/>
      <c r="M53" s="215">
        <v>43712</v>
      </c>
      <c r="N53" s="388"/>
      <c r="O53" s="259"/>
    </row>
    <row r="54" spans="1:17" ht="20.100000000000001" customHeight="1" thickTop="1" thickBot="1" x14ac:dyDescent="0.25">
      <c r="A54" s="188"/>
      <c r="B54" s="219" t="s">
        <v>249</v>
      </c>
      <c r="C54" s="387">
        <f>125*10^6/D39</f>
        <v>0.83557339033382483</v>
      </c>
      <c r="D54" s="1147">
        <v>6197.8</v>
      </c>
      <c r="E54" s="1148"/>
      <c r="F54" s="1149">
        <f>IF($F$55=1,($D$54*9.4605*10^12/10^3),($C$54*$D$39/10^3))*10^3</f>
        <v>125000000.00000001</v>
      </c>
      <c r="G54" s="1150"/>
      <c r="H54" s="1150"/>
      <c r="I54" s="1151"/>
      <c r="J54" s="389"/>
      <c r="K54" s="389"/>
      <c r="L54" s="389"/>
      <c r="M54" s="389"/>
      <c r="N54" s="261"/>
      <c r="O54" s="259"/>
      <c r="P54" s="333"/>
    </row>
    <row r="55" spans="1:17" ht="20.100000000000001" customHeight="1" thickTop="1" thickBot="1" x14ac:dyDescent="0.25">
      <c r="A55" s="188"/>
      <c r="B55" s="1064" t="s">
        <v>250</v>
      </c>
      <c r="C55" s="440">
        <v>0.01</v>
      </c>
      <c r="D55" s="441">
        <v>0.01</v>
      </c>
      <c r="E55" s="445">
        <f>E56/60</f>
        <v>1.4142135623730951E-2</v>
      </c>
      <c r="F55" s="390">
        <v>0</v>
      </c>
      <c r="G55" s="391" t="s">
        <v>296</v>
      </c>
      <c r="H55" s="331"/>
      <c r="I55" s="331"/>
      <c r="J55" s="332"/>
      <c r="K55" s="331"/>
      <c r="L55" s="331"/>
      <c r="M55" s="331"/>
      <c r="N55" s="331"/>
      <c r="O55" s="259"/>
      <c r="P55" s="333"/>
    </row>
    <row r="56" spans="1:17" ht="20.100000000000001" customHeight="1" thickTop="1" thickBot="1" x14ac:dyDescent="0.25">
      <c r="A56" s="188"/>
      <c r="B56" s="1065"/>
      <c r="C56" s="442">
        <f>C55*60</f>
        <v>0.6</v>
      </c>
      <c r="D56" s="443">
        <f>D55*60</f>
        <v>0.6</v>
      </c>
      <c r="E56" s="444">
        <f>SQRT(C56^2+D56^2)</f>
        <v>0.84852813742385702</v>
      </c>
      <c r="F56" s="261"/>
      <c r="G56" s="261"/>
      <c r="H56" s="261"/>
      <c r="I56" s="261"/>
      <c r="J56" s="262"/>
      <c r="K56" s="261"/>
      <c r="L56" s="261"/>
      <c r="M56" s="261"/>
      <c r="N56" s="261"/>
      <c r="O56" s="259"/>
      <c r="P56" s="333"/>
    </row>
    <row r="57" spans="1:17" ht="20.100000000000001" customHeight="1" thickTop="1" x14ac:dyDescent="0.2">
      <c r="A57" s="188"/>
      <c r="B57" s="231"/>
      <c r="C57" s="1101" t="s">
        <v>262</v>
      </c>
      <c r="D57" s="1102"/>
      <c r="E57" s="1102"/>
      <c r="F57" s="1102"/>
      <c r="G57" s="1102"/>
      <c r="H57" s="1102"/>
      <c r="I57" s="1102"/>
      <c r="J57" s="1102"/>
      <c r="K57" s="1102"/>
      <c r="L57" s="1102"/>
      <c r="M57" s="1102"/>
      <c r="N57" s="1102"/>
      <c r="O57" s="259"/>
      <c r="P57" s="333"/>
    </row>
    <row r="58" spans="1:17" ht="17.850000000000001" customHeight="1" x14ac:dyDescent="0.2">
      <c r="A58" s="188"/>
      <c r="B58" s="231"/>
      <c r="C58" s="1102"/>
      <c r="D58" s="1102"/>
      <c r="E58" s="1102"/>
      <c r="F58" s="1102"/>
      <c r="G58" s="1102"/>
      <c r="H58" s="1102"/>
      <c r="I58" s="1102"/>
      <c r="J58" s="1102"/>
      <c r="K58" s="1102"/>
      <c r="L58" s="1102"/>
      <c r="M58" s="1102"/>
      <c r="N58" s="1102"/>
      <c r="O58" s="259"/>
      <c r="P58" s="333"/>
    </row>
    <row r="59" spans="1:17" ht="32.1" customHeight="1" thickBot="1" x14ac:dyDescent="0.25">
      <c r="A59" s="188"/>
      <c r="B59" s="1158" t="s">
        <v>297</v>
      </c>
      <c r="C59" s="1142"/>
      <c r="D59" s="1142"/>
      <c r="E59" s="1142"/>
      <c r="F59" s="1142"/>
      <c r="G59" s="1142"/>
      <c r="H59" s="1142"/>
      <c r="I59" s="1142"/>
      <c r="J59" s="1142"/>
      <c r="K59" s="1142"/>
      <c r="L59" s="1142"/>
      <c r="M59" s="1142"/>
      <c r="N59" s="1142"/>
      <c r="O59" s="248"/>
    </row>
    <row r="60" spans="1:17" ht="20.100000000000001" customHeight="1" thickTop="1" thickBot="1" x14ac:dyDescent="0.3">
      <c r="A60" s="188"/>
      <c r="B60" s="237"/>
      <c r="C60" s="1098" t="s">
        <v>261</v>
      </c>
      <c r="D60" s="1099"/>
      <c r="E60" s="1100"/>
      <c r="F60" s="211"/>
      <c r="G60" s="1159" t="s">
        <v>329</v>
      </c>
      <c r="H60" s="1160"/>
      <c r="I60" s="1161"/>
      <c r="J60" s="1087">
        <v>3.44</v>
      </c>
      <c r="K60" s="1088"/>
      <c r="L60" s="249"/>
      <c r="M60" s="215">
        <v>43120</v>
      </c>
      <c r="N60" s="261"/>
      <c r="O60" s="250"/>
      <c r="P60" s="1077"/>
      <c r="Q60" s="1078"/>
    </row>
    <row r="61" spans="1:17" ht="20.100000000000001" customHeight="1" thickTop="1" thickBot="1" x14ac:dyDescent="0.3">
      <c r="A61" s="188"/>
      <c r="B61" s="219" t="s">
        <v>249</v>
      </c>
      <c r="C61" s="334">
        <v>778000</v>
      </c>
      <c r="D61" s="1162">
        <f>$C$61*10^3*9.4605*10^12</f>
        <v>7.3602689999999997E+21</v>
      </c>
      <c r="E61" s="1070"/>
      <c r="F61" s="1163" t="s">
        <v>295</v>
      </c>
      <c r="G61" s="1164"/>
      <c r="H61" s="1164"/>
      <c r="I61" s="1164"/>
      <c r="J61" s="1164"/>
      <c r="K61" s="1164"/>
      <c r="L61" s="1164"/>
      <c r="M61" s="1164"/>
      <c r="N61" s="1164"/>
      <c r="O61" s="250"/>
    </row>
    <row r="62" spans="1:17" ht="20.100000000000001" customHeight="1" thickTop="1" thickBot="1" x14ac:dyDescent="0.25">
      <c r="A62" s="188"/>
      <c r="B62" s="1064" t="s">
        <v>250</v>
      </c>
      <c r="C62" s="251">
        <v>189</v>
      </c>
      <c r="D62" s="252">
        <v>61</v>
      </c>
      <c r="E62" s="430">
        <f>SQRT($C$62^2+$D$62^2)</f>
        <v>198.60010070490901</v>
      </c>
      <c r="F62" s="1156" t="s">
        <v>245</v>
      </c>
      <c r="G62" s="1157"/>
      <c r="H62" s="1157"/>
      <c r="I62" s="1157"/>
      <c r="J62" s="1157"/>
      <c r="K62" s="1157"/>
      <c r="L62" s="1157"/>
      <c r="M62" s="1157"/>
      <c r="N62" s="1157"/>
      <c r="O62" s="250"/>
    </row>
    <row r="63" spans="1:17" ht="20.100000000000001" customHeight="1" thickBot="1" x14ac:dyDescent="0.25">
      <c r="A63" s="188"/>
      <c r="B63" s="1065"/>
      <c r="C63" s="426">
        <f>$C$62*60</f>
        <v>11340</v>
      </c>
      <c r="D63" s="427">
        <f>$D$62*60</f>
        <v>3660</v>
      </c>
      <c r="E63" s="431">
        <f>$E$62*60</f>
        <v>11916.006042294541</v>
      </c>
      <c r="F63" s="1156"/>
      <c r="G63" s="1157"/>
      <c r="H63" s="1157"/>
      <c r="I63" s="1157"/>
      <c r="J63" s="1157"/>
      <c r="K63" s="1157"/>
      <c r="L63" s="1157"/>
      <c r="M63" s="1157"/>
      <c r="N63" s="1157"/>
      <c r="O63" s="250"/>
    </row>
    <row r="64" spans="1:17" ht="23.65" customHeight="1" thickTop="1" thickBot="1" x14ac:dyDescent="0.25">
      <c r="A64" s="188"/>
      <c r="B64" s="237"/>
      <c r="C64" s="1152" t="s">
        <v>232</v>
      </c>
      <c r="D64" s="1153"/>
      <c r="E64" s="1153"/>
      <c r="F64" s="1153"/>
      <c r="G64" s="1153"/>
      <c r="H64" s="1154" t="s">
        <v>313</v>
      </c>
      <c r="I64" s="1154"/>
      <c r="J64" s="1154"/>
      <c r="K64" s="1154"/>
      <c r="L64" s="1154"/>
      <c r="M64" s="1154"/>
      <c r="N64" s="1154"/>
      <c r="O64" s="1155"/>
    </row>
    <row r="65" spans="1:15" ht="20.100000000000001" customHeight="1" thickTop="1" x14ac:dyDescent="0.2">
      <c r="A65" s="1143" t="s">
        <v>253</v>
      </c>
      <c r="B65" s="1144"/>
      <c r="C65" s="1144"/>
      <c r="D65" s="1145"/>
      <c r="E65" s="1145"/>
      <c r="F65" s="1145"/>
      <c r="G65" s="1145"/>
      <c r="H65" s="1145"/>
      <c r="I65" s="1145"/>
      <c r="J65" s="1145"/>
      <c r="K65" s="1145"/>
      <c r="L65" s="1145"/>
      <c r="M65" s="1145"/>
      <c r="N65" s="1145"/>
      <c r="O65" s="1145"/>
    </row>
    <row r="66" spans="1:15" s="314" customFormat="1" ht="24.95" customHeight="1" x14ac:dyDescent="0.2"/>
    <row r="68" spans="1:15" x14ac:dyDescent="0.2">
      <c r="D68" s="1146"/>
      <c r="E68" s="1146"/>
      <c r="F68" s="1146"/>
      <c r="G68" s="1146"/>
      <c r="H68" s="1146"/>
      <c r="I68" s="1146"/>
    </row>
  </sheetData>
  <sheetProtection algorithmName="SHA-512" hashValue="k59BRhSQ91M0VbztEjx4Tg8V06vie5z3+Np6d9wLyb1ITwJrlGhhISSAcW64jTRHNg7f+zPAC+io2DGPI1U5UQ==" saltValue="zOpS9BTaQcTwJoajX3uAmQ==" spinCount="100000" sheet="1" objects="1" scenarios="1"/>
  <mergeCells count="68">
    <mergeCell ref="A65:O65"/>
    <mergeCell ref="D68:I68"/>
    <mergeCell ref="B62:B63"/>
    <mergeCell ref="D54:E54"/>
    <mergeCell ref="F54:I54"/>
    <mergeCell ref="C64:G64"/>
    <mergeCell ref="H64:O64"/>
    <mergeCell ref="F62:N63"/>
    <mergeCell ref="B59:N59"/>
    <mergeCell ref="B55:B56"/>
    <mergeCell ref="G60:I60"/>
    <mergeCell ref="D61:E61"/>
    <mergeCell ref="F61:N61"/>
    <mergeCell ref="M45:N45"/>
    <mergeCell ref="J46:K46"/>
    <mergeCell ref="B51:M51"/>
    <mergeCell ref="G46:I46"/>
    <mergeCell ref="G53:I53"/>
    <mergeCell ref="E47:N49"/>
    <mergeCell ref="B48:B49"/>
    <mergeCell ref="B52:N52"/>
    <mergeCell ref="C46:D46"/>
    <mergeCell ref="B1:O2"/>
    <mergeCell ref="B3:O4"/>
    <mergeCell ref="F40:F41"/>
    <mergeCell ref="F37:G37"/>
    <mergeCell ref="B14:K14"/>
    <mergeCell ref="B5:K7"/>
    <mergeCell ref="B18:K18"/>
    <mergeCell ref="J31:K31"/>
    <mergeCell ref="M10:N10"/>
    <mergeCell ref="B33:B34"/>
    <mergeCell ref="B8:K10"/>
    <mergeCell ref="B40:B41"/>
    <mergeCell ref="D11:K12"/>
    <mergeCell ref="D23:G23"/>
    <mergeCell ref="H23:N23"/>
    <mergeCell ref="B13:E13"/>
    <mergeCell ref="P60:Q60"/>
    <mergeCell ref="H37:I37"/>
    <mergeCell ref="H28:N28"/>
    <mergeCell ref="H31:I31"/>
    <mergeCell ref="F31:G31"/>
    <mergeCell ref="J37:K37"/>
    <mergeCell ref="J60:K60"/>
    <mergeCell ref="H38:N41"/>
    <mergeCell ref="E32:N32"/>
    <mergeCell ref="D39:E39"/>
    <mergeCell ref="D33:N34"/>
    <mergeCell ref="C60:E60"/>
    <mergeCell ref="C57:N58"/>
    <mergeCell ref="F39:G39"/>
    <mergeCell ref="J53:K53"/>
    <mergeCell ref="C53:D53"/>
    <mergeCell ref="F13:G13"/>
    <mergeCell ref="C42:N44"/>
    <mergeCell ref="M18:N18"/>
    <mergeCell ref="M20:N20"/>
    <mergeCell ref="B15:K15"/>
    <mergeCell ref="D28:G28"/>
    <mergeCell ref="B19:K19"/>
    <mergeCell ref="B28:B29"/>
    <mergeCell ref="B16:K17"/>
    <mergeCell ref="J21:K21"/>
    <mergeCell ref="J26:K26"/>
    <mergeCell ref="H21:I21"/>
    <mergeCell ref="H26:I26"/>
    <mergeCell ref="B23:B24"/>
  </mergeCells>
  <phoneticPr fontId="0" type="noConversion"/>
  <hyperlinks>
    <hyperlink ref="H35:J35" r:id="rId1" display=" https://www.ap-i.net/avl/fr/start" xr:uid="{00000000-0004-0000-0100-000000000000}"/>
    <hyperlink ref="H64:N64" r:id="rId2" display="http://www.astropractica.org/tem3/messier/Messier.htm" xr:uid="{00000000-0004-0000-0100-000001000000}"/>
    <hyperlink ref="M10" r:id="rId3" xr:uid="{00000000-0004-0000-0100-000002000000}"/>
    <hyperlink ref="H28:N28" r:id="rId4" display=" http://www.pvol.ehu.es/pvol/tools.jsp?action=jdcm" xr:uid="{00000000-0004-0000-0100-000003000000}"/>
    <hyperlink ref="H28" r:id="rId5" xr:uid="{00000000-0004-0000-0100-000004000000}"/>
    <hyperlink ref="H64:O64" r:id="rId6" display="http://www.astropractica.org/tem3/messier/messier.htm" xr:uid="{00000000-0004-0000-0100-000005000000}"/>
    <hyperlink ref="H23:N23" r:id="rId7" display=" http://www.pvol.ehu.es/pvol/tools.jsp?action=jdcm" xr:uid="{00000000-0004-0000-0100-000006000000}"/>
    <hyperlink ref="H23" r:id="rId8" xr:uid="{00000000-0004-0000-0100-000007000000}"/>
    <hyperlink ref="F13:G13" r:id="rId9" display="ejemplo" xr:uid="{00000000-0004-0000-0100-000008000000}"/>
  </hyperlinks>
  <printOptions horizontalCentered="1"/>
  <pageMargins left="0.25" right="0.25" top="0.75" bottom="0.75" header="0.3" footer="0.3"/>
  <pageSetup paperSize="9" scale="67" orientation="portrait" r:id="rId10"/>
  <headerFooter alignWithMargins="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Z95"/>
  <sheetViews>
    <sheetView showGridLines="0" topLeftCell="A40" workbookViewId="0">
      <selection activeCell="I68" sqref="I68"/>
    </sheetView>
  </sheetViews>
  <sheetFormatPr baseColWidth="10" defaultColWidth="11.5546875" defaultRowHeight="14.25" x14ac:dyDescent="0.2"/>
  <cols>
    <col min="1" max="1" width="1.77734375" style="148" customWidth="1"/>
    <col min="2" max="2" width="16.6640625" style="148" customWidth="1"/>
    <col min="3" max="3" width="13.21875" style="148" customWidth="1"/>
    <col min="4" max="4" width="5.88671875" style="148" customWidth="1"/>
    <col min="5" max="7" width="4.77734375" style="148" bestFit="1" customWidth="1"/>
    <col min="8" max="8" width="5.77734375" style="148" customWidth="1"/>
    <col min="9" max="9" width="4.33203125" style="148" bestFit="1" customWidth="1"/>
    <col min="10" max="10" width="1.5546875" style="148" bestFit="1" customWidth="1"/>
    <col min="11" max="11" width="4.33203125" style="148" bestFit="1" customWidth="1"/>
    <col min="12" max="12" width="6.44140625" style="148" bestFit="1" customWidth="1"/>
    <col min="13" max="13" width="3.88671875" style="148" bestFit="1" customWidth="1"/>
    <col min="14" max="14" width="1.5546875" style="148" bestFit="1" customWidth="1"/>
    <col min="15" max="15" width="3.88671875" style="148" bestFit="1" customWidth="1"/>
    <col min="16" max="16" width="5.21875" style="148" hidden="1" customWidth="1"/>
    <col min="17" max="17" width="1.5546875" style="148" hidden="1" customWidth="1"/>
    <col min="18" max="18" width="4.77734375" style="148" hidden="1" customWidth="1"/>
    <col min="19" max="19" width="4.44140625" style="148" hidden="1" customWidth="1"/>
    <col min="20" max="20" width="3.88671875" style="148" hidden="1" customWidth="1"/>
    <col min="21" max="21" width="18.33203125" style="148" customWidth="1"/>
    <col min="22" max="22" width="27.21875" style="148" customWidth="1"/>
    <col min="23" max="23" width="4.33203125" style="148" customWidth="1"/>
    <col min="24" max="24" width="1.5546875" style="148" customWidth="1"/>
    <col min="25" max="25" width="4.33203125" style="148" customWidth="1"/>
    <col min="26" max="26" width="5.5546875" style="148" customWidth="1"/>
    <col min="27" max="16384" width="11.5546875" style="148"/>
  </cols>
  <sheetData>
    <row r="1" spans="2:22" ht="15" thickBot="1" x14ac:dyDescent="0.25"/>
    <row r="2" spans="2:22" ht="25.15" customHeight="1" thickTop="1" x14ac:dyDescent="0.2">
      <c r="B2" s="1172" t="s">
        <v>109</v>
      </c>
      <c r="C2" s="1173"/>
      <c r="D2" s="1173"/>
      <c r="E2" s="1173"/>
      <c r="F2" s="1173"/>
      <c r="G2" s="1173"/>
      <c r="H2" s="1173"/>
      <c r="I2" s="1173"/>
      <c r="J2" s="1173"/>
      <c r="K2" s="1173"/>
      <c r="L2" s="1173"/>
      <c r="M2" s="1173"/>
      <c r="N2" s="1173"/>
      <c r="O2" s="1173"/>
      <c r="P2" s="1173"/>
      <c r="Q2" s="1173"/>
      <c r="R2" s="1173"/>
      <c r="S2" s="1173"/>
      <c r="T2" s="1173"/>
      <c r="U2" s="1174"/>
      <c r="V2" s="1165"/>
    </row>
    <row r="3" spans="2:22" s="176" customFormat="1" ht="25.15" customHeight="1" thickBot="1" x14ac:dyDescent="0.25">
      <c r="B3" s="1169" t="s">
        <v>110</v>
      </c>
      <c r="C3" s="1170"/>
      <c r="D3" s="1170"/>
      <c r="E3" s="1170"/>
      <c r="F3" s="1170"/>
      <c r="G3" s="1170"/>
      <c r="H3" s="1170"/>
      <c r="I3" s="1170"/>
      <c r="J3" s="1170"/>
      <c r="K3" s="1170"/>
      <c r="L3" s="1170"/>
      <c r="M3" s="1170"/>
      <c r="N3" s="1170"/>
      <c r="O3" s="1170"/>
      <c r="P3" s="1170"/>
      <c r="Q3" s="1170"/>
      <c r="R3" s="1170"/>
      <c r="S3" s="1170"/>
      <c r="T3" s="1170"/>
      <c r="U3" s="1171"/>
      <c r="V3" s="1166"/>
    </row>
    <row r="4" spans="2:22" s="176" customFormat="1" ht="20.100000000000001" customHeight="1" thickTop="1" x14ac:dyDescent="0.2">
      <c r="B4" s="1175" t="s">
        <v>94</v>
      </c>
      <c r="C4" s="1176"/>
      <c r="D4" s="1177" t="s">
        <v>108</v>
      </c>
      <c r="E4" s="1178"/>
      <c r="F4" s="1178"/>
      <c r="G4" s="1178"/>
      <c r="H4" s="1178"/>
      <c r="I4" s="1178"/>
      <c r="J4" s="1178"/>
      <c r="K4" s="1178"/>
      <c r="L4" s="1178"/>
      <c r="M4" s="1178"/>
      <c r="N4" s="1178"/>
      <c r="O4" s="1178"/>
      <c r="P4" s="49"/>
      <c r="Q4" s="49"/>
      <c r="R4" s="49"/>
      <c r="S4" s="49"/>
      <c r="T4" s="49"/>
      <c r="U4" s="1167" t="s">
        <v>132</v>
      </c>
      <c r="V4" s="139" t="s">
        <v>187</v>
      </c>
    </row>
    <row r="5" spans="2:22" ht="20.100000000000001" customHeight="1" x14ac:dyDescent="0.2">
      <c r="B5" s="1175" t="s">
        <v>95</v>
      </c>
      <c r="C5" s="1176"/>
      <c r="D5" s="1186" t="s">
        <v>93</v>
      </c>
      <c r="E5" s="1187"/>
      <c r="F5" s="1187"/>
      <c r="G5" s="1187"/>
      <c r="H5" s="1187"/>
      <c r="I5" s="1187"/>
      <c r="J5" s="1187"/>
      <c r="K5" s="1187"/>
      <c r="L5" s="1187"/>
      <c r="M5" s="1187"/>
      <c r="N5" s="1187"/>
      <c r="O5" s="1187"/>
      <c r="P5" s="49"/>
      <c r="Q5" s="49"/>
      <c r="R5" s="49"/>
      <c r="S5" s="49"/>
      <c r="T5" s="49"/>
      <c r="U5" s="1168"/>
      <c r="V5" s="372" t="s">
        <v>188</v>
      </c>
    </row>
    <row r="6" spans="2:22" ht="15" customHeight="1" x14ac:dyDescent="0.2">
      <c r="B6" s="1181" t="s">
        <v>44</v>
      </c>
      <c r="C6" s="1179" t="s">
        <v>78</v>
      </c>
      <c r="D6" s="1183" t="s">
        <v>153</v>
      </c>
      <c r="E6" s="1184"/>
      <c r="F6" s="1184"/>
      <c r="G6" s="1185"/>
      <c r="H6" s="1188" t="s">
        <v>112</v>
      </c>
      <c r="I6" s="1179" t="s">
        <v>113</v>
      </c>
      <c r="J6" s="1190"/>
      <c r="K6" s="1190"/>
      <c r="L6" s="1190"/>
      <c r="M6" s="1179" t="s">
        <v>131</v>
      </c>
      <c r="N6" s="1190"/>
      <c r="O6" s="1191"/>
      <c r="P6" s="49"/>
      <c r="Q6" s="49"/>
      <c r="R6" s="49"/>
      <c r="S6" s="49"/>
      <c r="T6" s="49"/>
      <c r="U6" s="1168"/>
      <c r="V6" s="140"/>
    </row>
    <row r="7" spans="2:22" ht="15.75" thickBot="1" x14ac:dyDescent="0.25">
      <c r="B7" s="1182"/>
      <c r="C7" s="1180"/>
      <c r="D7" s="1" t="s">
        <v>17</v>
      </c>
      <c r="E7" s="2" t="s">
        <v>6</v>
      </c>
      <c r="F7" s="2" t="s">
        <v>7</v>
      </c>
      <c r="G7" s="2" t="s">
        <v>68</v>
      </c>
      <c r="H7" s="1189"/>
      <c r="I7" s="1192"/>
      <c r="J7" s="1192"/>
      <c r="K7" s="1192"/>
      <c r="L7" s="1192"/>
      <c r="M7" s="1192"/>
      <c r="N7" s="1192"/>
      <c r="O7" s="1193"/>
      <c r="P7" s="49"/>
      <c r="Q7" s="49"/>
      <c r="R7" s="49"/>
      <c r="S7" s="49"/>
      <c r="T7" s="49"/>
      <c r="U7" s="1168"/>
      <c r="V7" s="141"/>
    </row>
    <row r="8" spans="2:22" ht="15.75" thickTop="1" x14ac:dyDescent="0.2">
      <c r="B8" s="7" t="s">
        <v>45</v>
      </c>
      <c r="C8" s="12" t="s">
        <v>47</v>
      </c>
      <c r="D8" s="13" t="s">
        <v>10</v>
      </c>
      <c r="E8" s="14">
        <f>M8*10^(-3)*I8</f>
        <v>14.8988</v>
      </c>
      <c r="F8" s="14">
        <f>O8*10^(-3)*K8</f>
        <v>10.002799999999999</v>
      </c>
      <c r="G8" s="15">
        <f t="shared" ref="G8:G64" si="0">SQRT(E8^2+F8^2)</f>
        <v>17.945201288366757</v>
      </c>
      <c r="H8" s="16">
        <f t="shared" ref="H8:H64" si="1">IF(E8=0,"",SQRT((36^2)+(24^2))/SQRT((E8^2)+(F8^2)))</f>
        <v>2.411040957986696</v>
      </c>
      <c r="I8" s="17">
        <v>2191</v>
      </c>
      <c r="J8" s="18" t="s">
        <v>19</v>
      </c>
      <c r="K8" s="19">
        <v>1471</v>
      </c>
      <c r="L8" s="20">
        <f t="shared" ref="L8:L64" si="2">IF(H8=0,"",I8*K8/10^6)</f>
        <v>3.2229610000000002</v>
      </c>
      <c r="M8" s="21">
        <v>6.8</v>
      </c>
      <c r="N8" s="22" t="s">
        <v>19</v>
      </c>
      <c r="O8" s="23">
        <v>6.8</v>
      </c>
      <c r="P8" s="177">
        <f t="shared" ref="P8:P13" si="3">E8/(M8*10^(-3))</f>
        <v>2191</v>
      </c>
      <c r="Q8" s="3" t="s">
        <v>19</v>
      </c>
      <c r="R8" s="178">
        <f t="shared" ref="R8:R13" si="4">F8/(O8*10^(-3))</f>
        <v>1471</v>
      </c>
      <c r="S8" s="4">
        <f t="shared" ref="S8:S13" si="5">P8-I8</f>
        <v>0</v>
      </c>
      <c r="T8" s="5">
        <f t="shared" ref="T8:T13" si="6">R8-K8</f>
        <v>0</v>
      </c>
      <c r="U8" s="27"/>
      <c r="V8" s="169"/>
    </row>
    <row r="9" spans="2:22" ht="15" x14ac:dyDescent="0.2">
      <c r="B9" s="7" t="s">
        <v>45</v>
      </c>
      <c r="C9" s="12" t="s">
        <v>48</v>
      </c>
      <c r="D9" s="13" t="s">
        <v>10</v>
      </c>
      <c r="E9" s="14">
        <f t="shared" ref="E9:E65" si="7">M9*10^(-3)*I9</f>
        <v>18.396000000000001</v>
      </c>
      <c r="F9" s="14">
        <f t="shared" ref="F9:F65" si="8">O9*10^(-3)*K9</f>
        <v>18.396000000000001</v>
      </c>
      <c r="G9" s="15">
        <f t="shared" si="0"/>
        <v>26.015872693415456</v>
      </c>
      <c r="H9" s="16">
        <f t="shared" si="1"/>
        <v>1.6630852947138894</v>
      </c>
      <c r="I9" s="17">
        <v>2044</v>
      </c>
      <c r="J9" s="18" t="s">
        <v>19</v>
      </c>
      <c r="K9" s="19">
        <v>2044</v>
      </c>
      <c r="L9" s="20">
        <f t="shared" si="2"/>
        <v>4.1779359999999999</v>
      </c>
      <c r="M9" s="21">
        <v>9</v>
      </c>
      <c r="N9" s="22" t="s">
        <v>19</v>
      </c>
      <c r="O9" s="23">
        <v>9</v>
      </c>
      <c r="P9" s="177">
        <f t="shared" si="3"/>
        <v>2043.9999999999998</v>
      </c>
      <c r="Q9" s="6" t="s">
        <v>19</v>
      </c>
      <c r="R9" s="178">
        <f t="shared" si="4"/>
        <v>2043.9999999999998</v>
      </c>
      <c r="S9" s="4">
        <f t="shared" si="5"/>
        <v>0</v>
      </c>
      <c r="T9" s="5">
        <f t="shared" si="6"/>
        <v>0</v>
      </c>
      <c r="U9" s="27"/>
      <c r="V9" s="170"/>
    </row>
    <row r="10" spans="2:22" ht="15" x14ac:dyDescent="0.2">
      <c r="B10" s="7" t="s">
        <v>45</v>
      </c>
      <c r="C10" s="12" t="s">
        <v>46</v>
      </c>
      <c r="D10" s="13" t="s">
        <v>10</v>
      </c>
      <c r="E10" s="14">
        <f t="shared" si="7"/>
        <v>27.603000000000002</v>
      </c>
      <c r="F10" s="14">
        <f t="shared" si="8"/>
        <v>18.396000000000001</v>
      </c>
      <c r="G10" s="15">
        <f t="shared" si="0"/>
        <v>33.171349460038556</v>
      </c>
      <c r="H10" s="16">
        <f t="shared" si="1"/>
        <v>1.3043369054880043</v>
      </c>
      <c r="I10" s="17">
        <v>3067</v>
      </c>
      <c r="J10" s="18" t="s">
        <v>19</v>
      </c>
      <c r="K10" s="19">
        <v>2044</v>
      </c>
      <c r="L10" s="20">
        <f t="shared" si="2"/>
        <v>6.268948</v>
      </c>
      <c r="M10" s="21">
        <v>9</v>
      </c>
      <c r="N10" s="22" t="s">
        <v>19</v>
      </c>
      <c r="O10" s="23">
        <v>9</v>
      </c>
      <c r="P10" s="177">
        <f t="shared" si="3"/>
        <v>3067</v>
      </c>
      <c r="Q10" s="6" t="s">
        <v>19</v>
      </c>
      <c r="R10" s="178">
        <f t="shared" si="4"/>
        <v>2043.9999999999998</v>
      </c>
      <c r="S10" s="4">
        <f t="shared" si="5"/>
        <v>0</v>
      </c>
      <c r="T10" s="5">
        <f t="shared" si="6"/>
        <v>0</v>
      </c>
      <c r="U10" s="27"/>
      <c r="V10" s="170"/>
    </row>
    <row r="11" spans="2:22" ht="15" x14ac:dyDescent="0.2">
      <c r="B11" s="7" t="s">
        <v>51</v>
      </c>
      <c r="C11" s="12" t="s">
        <v>114</v>
      </c>
      <c r="D11" s="13" t="s">
        <v>10</v>
      </c>
      <c r="E11" s="14">
        <f t="shared" si="7"/>
        <v>8.9977499999999999</v>
      </c>
      <c r="F11" s="14">
        <f t="shared" si="8"/>
        <v>6.7015500000000001</v>
      </c>
      <c r="G11" s="15">
        <f t="shared" si="0"/>
        <v>11.219192371334044</v>
      </c>
      <c r="H11" s="16">
        <f t="shared" si="1"/>
        <v>3.8564821667660878</v>
      </c>
      <c r="I11" s="17">
        <v>1395</v>
      </c>
      <c r="J11" s="18" t="s">
        <v>19</v>
      </c>
      <c r="K11" s="19">
        <v>1039</v>
      </c>
      <c r="L11" s="20">
        <f t="shared" si="2"/>
        <v>1.4494050000000001</v>
      </c>
      <c r="M11" s="21">
        <v>6.45</v>
      </c>
      <c r="N11" s="22" t="s">
        <v>19</v>
      </c>
      <c r="O11" s="23">
        <v>6.45</v>
      </c>
      <c r="P11" s="177">
        <f t="shared" si="3"/>
        <v>1395</v>
      </c>
      <c r="Q11" s="6" t="s">
        <v>19</v>
      </c>
      <c r="R11" s="178">
        <f t="shared" si="4"/>
        <v>1039</v>
      </c>
      <c r="S11" s="4">
        <f t="shared" si="5"/>
        <v>0</v>
      </c>
      <c r="T11" s="5">
        <f t="shared" si="6"/>
        <v>0</v>
      </c>
      <c r="U11" s="27" t="s">
        <v>122</v>
      </c>
      <c r="V11" s="170"/>
    </row>
    <row r="12" spans="2:22" ht="15" x14ac:dyDescent="0.2">
      <c r="B12" s="7" t="s">
        <v>51</v>
      </c>
      <c r="C12" s="12" t="s">
        <v>115</v>
      </c>
      <c r="D12" s="13" t="s">
        <v>10</v>
      </c>
      <c r="E12" s="14">
        <f t="shared" si="7"/>
        <v>15.155200000000001</v>
      </c>
      <c r="F12" s="14">
        <f t="shared" si="8"/>
        <v>15.155200000000001</v>
      </c>
      <c r="G12" s="15">
        <f t="shared" si="0"/>
        <v>21.432689380476731</v>
      </c>
      <c r="H12" s="16">
        <f t="shared" si="1"/>
        <v>2.018720774490387</v>
      </c>
      <c r="I12" s="17">
        <v>2048</v>
      </c>
      <c r="J12" s="18" t="s">
        <v>19</v>
      </c>
      <c r="K12" s="19">
        <v>2048</v>
      </c>
      <c r="L12" s="20">
        <f t="shared" si="2"/>
        <v>4.1943039999999998</v>
      </c>
      <c r="M12" s="21">
        <v>7.4</v>
      </c>
      <c r="N12" s="22" t="s">
        <v>19</v>
      </c>
      <c r="O12" s="23">
        <v>7.4</v>
      </c>
      <c r="P12" s="177">
        <f t="shared" si="3"/>
        <v>2048</v>
      </c>
      <c r="Q12" s="6" t="s">
        <v>19</v>
      </c>
      <c r="R12" s="178">
        <f t="shared" si="4"/>
        <v>2048</v>
      </c>
      <c r="S12" s="4">
        <f t="shared" si="5"/>
        <v>0</v>
      </c>
      <c r="T12" s="5">
        <f t="shared" si="6"/>
        <v>0</v>
      </c>
      <c r="U12" s="27"/>
      <c r="V12" s="170"/>
    </row>
    <row r="13" spans="2:22" ht="15" x14ac:dyDescent="0.2">
      <c r="B13" s="7" t="s">
        <v>21</v>
      </c>
      <c r="C13" s="12" t="s">
        <v>8</v>
      </c>
      <c r="D13" s="13" t="s">
        <v>10</v>
      </c>
      <c r="E13" s="14">
        <f t="shared" si="7"/>
        <v>3.5840000000000001</v>
      </c>
      <c r="F13" s="14">
        <f t="shared" si="8"/>
        <v>2.6880000000000002</v>
      </c>
      <c r="G13" s="15">
        <f t="shared" si="0"/>
        <v>4.4800000000000004</v>
      </c>
      <c r="H13" s="16">
        <f t="shared" si="1"/>
        <v>9.6577266307071135</v>
      </c>
      <c r="I13" s="17">
        <v>640</v>
      </c>
      <c r="J13" s="18" t="s">
        <v>19</v>
      </c>
      <c r="K13" s="19">
        <v>480</v>
      </c>
      <c r="L13" s="20">
        <f t="shared" si="2"/>
        <v>0.30719999999999997</v>
      </c>
      <c r="M13" s="21">
        <v>5.6</v>
      </c>
      <c r="N13" s="22" t="s">
        <v>19</v>
      </c>
      <c r="O13" s="23">
        <v>5.6</v>
      </c>
      <c r="P13" s="177">
        <f t="shared" si="3"/>
        <v>640</v>
      </c>
      <c r="Q13" s="6" t="s">
        <v>19</v>
      </c>
      <c r="R13" s="178">
        <f t="shared" si="4"/>
        <v>480.00000000000006</v>
      </c>
      <c r="S13" s="4">
        <f t="shared" si="5"/>
        <v>0</v>
      </c>
      <c r="T13" s="5">
        <f t="shared" si="6"/>
        <v>0</v>
      </c>
      <c r="U13" s="47" t="s">
        <v>133</v>
      </c>
      <c r="V13" s="170"/>
    </row>
    <row r="14" spans="2:22" ht="15" x14ac:dyDescent="0.2">
      <c r="B14" s="7" t="s">
        <v>21</v>
      </c>
      <c r="C14" s="12" t="s">
        <v>118</v>
      </c>
      <c r="D14" s="13" t="s">
        <v>10</v>
      </c>
      <c r="E14" s="14">
        <f t="shared" si="7"/>
        <v>3.5840000000000001</v>
      </c>
      <c r="F14" s="14">
        <f t="shared" si="8"/>
        <v>2.6880000000000002</v>
      </c>
      <c r="G14" s="15">
        <f t="shared" si="0"/>
        <v>4.4800000000000004</v>
      </c>
      <c r="H14" s="16">
        <f t="shared" si="1"/>
        <v>9.6577266307071135</v>
      </c>
      <c r="I14" s="17">
        <v>640</v>
      </c>
      <c r="J14" s="18" t="s">
        <v>19</v>
      </c>
      <c r="K14" s="19">
        <v>480</v>
      </c>
      <c r="L14" s="20">
        <f t="shared" si="2"/>
        <v>0.30719999999999997</v>
      </c>
      <c r="M14" s="21">
        <v>5.6</v>
      </c>
      <c r="N14" s="22" t="s">
        <v>19</v>
      </c>
      <c r="O14" s="23">
        <v>5.6</v>
      </c>
      <c r="P14" s="177"/>
      <c r="Q14" s="6"/>
      <c r="R14" s="178"/>
      <c r="S14" s="4"/>
      <c r="T14" s="5"/>
      <c r="U14" s="27" t="s">
        <v>133</v>
      </c>
      <c r="V14" s="170"/>
    </row>
    <row r="15" spans="2:22" ht="15" x14ac:dyDescent="0.2">
      <c r="B15" s="7" t="s">
        <v>21</v>
      </c>
      <c r="C15" s="12" t="s">
        <v>67</v>
      </c>
      <c r="D15" s="13" t="s">
        <v>10</v>
      </c>
      <c r="E15" s="14">
        <f t="shared" si="7"/>
        <v>4.8765999999999998</v>
      </c>
      <c r="F15" s="14">
        <f t="shared" si="8"/>
        <v>3.6556000000000002</v>
      </c>
      <c r="G15" s="15">
        <f t="shared" si="0"/>
        <v>6.0946401796988798</v>
      </c>
      <c r="H15" s="16">
        <f t="shared" si="1"/>
        <v>7.0991254659607428</v>
      </c>
      <c r="I15" s="17">
        <v>659</v>
      </c>
      <c r="J15" s="18" t="s">
        <v>19</v>
      </c>
      <c r="K15" s="19">
        <v>494</v>
      </c>
      <c r="L15" s="20">
        <f t="shared" si="2"/>
        <v>0.325546</v>
      </c>
      <c r="M15" s="21">
        <v>7.4</v>
      </c>
      <c r="N15" s="22" t="s">
        <v>19</v>
      </c>
      <c r="O15" s="23">
        <v>7.4</v>
      </c>
      <c r="P15" s="177">
        <f>E15/(M15*10^(-3))</f>
        <v>659</v>
      </c>
      <c r="Q15" s="6" t="s">
        <v>19</v>
      </c>
      <c r="R15" s="178">
        <f>F15/(O15*10^(-3))</f>
        <v>494</v>
      </c>
      <c r="S15" s="4">
        <f>P15-I15</f>
        <v>0</v>
      </c>
      <c r="T15" s="5">
        <f>R15-K15</f>
        <v>0</v>
      </c>
      <c r="U15" s="27" t="s">
        <v>134</v>
      </c>
      <c r="V15" s="170"/>
    </row>
    <row r="16" spans="2:22" ht="15" x14ac:dyDescent="0.2">
      <c r="B16" s="7" t="s">
        <v>21</v>
      </c>
      <c r="C16" s="12" t="s">
        <v>116</v>
      </c>
      <c r="D16" s="13" t="s">
        <v>10</v>
      </c>
      <c r="E16" s="14">
        <f t="shared" si="7"/>
        <v>8.9784000000000006</v>
      </c>
      <c r="F16" s="14">
        <f t="shared" si="8"/>
        <v>6.7080000000000002</v>
      </c>
      <c r="G16" s="15">
        <f t="shared" si="0"/>
        <v>11.207539005508748</v>
      </c>
      <c r="H16" s="16">
        <f t="shared" si="1"/>
        <v>3.8604920566684084</v>
      </c>
      <c r="I16" s="17">
        <v>1392</v>
      </c>
      <c r="J16" s="18" t="s">
        <v>19</v>
      </c>
      <c r="K16" s="19">
        <v>1040</v>
      </c>
      <c r="L16" s="20">
        <f t="shared" si="2"/>
        <v>1.4476800000000001</v>
      </c>
      <c r="M16" s="21">
        <v>6.45</v>
      </c>
      <c r="N16" s="22" t="s">
        <v>19</v>
      </c>
      <c r="O16" s="23">
        <v>6.45</v>
      </c>
      <c r="P16" s="177">
        <f>E16/(M16*10^(-3))</f>
        <v>1392</v>
      </c>
      <c r="Q16" s="6" t="s">
        <v>19</v>
      </c>
      <c r="R16" s="178">
        <f>F16/(O16*10^(-3))</f>
        <v>1040</v>
      </c>
      <c r="S16" s="4">
        <f>P16-I16</f>
        <v>0</v>
      </c>
      <c r="T16" s="5">
        <f>R16-K16</f>
        <v>0</v>
      </c>
      <c r="U16" s="27" t="s">
        <v>122</v>
      </c>
      <c r="V16" s="170"/>
    </row>
    <row r="17" spans="2:26" ht="15" x14ac:dyDescent="0.2">
      <c r="B17" s="7" t="s">
        <v>21</v>
      </c>
      <c r="C17" s="12" t="s">
        <v>123</v>
      </c>
      <c r="D17" s="13" t="s">
        <v>10</v>
      </c>
      <c r="E17" s="14">
        <f t="shared" si="7"/>
        <v>17.9604</v>
      </c>
      <c r="F17" s="14">
        <f t="shared" si="8"/>
        <v>13.521600000000001</v>
      </c>
      <c r="G17" s="15">
        <f t="shared" si="0"/>
        <v>22.481317459615219</v>
      </c>
      <c r="H17" s="16">
        <f t="shared" si="1"/>
        <v>1.9245587089498093</v>
      </c>
      <c r="I17" s="17">
        <v>3326</v>
      </c>
      <c r="J17" s="18" t="s">
        <v>19</v>
      </c>
      <c r="K17" s="19">
        <v>2504</v>
      </c>
      <c r="L17" s="20">
        <f t="shared" si="2"/>
        <v>8.3283039999999993</v>
      </c>
      <c r="M17" s="21">
        <v>5.4</v>
      </c>
      <c r="N17" s="22" t="s">
        <v>19</v>
      </c>
      <c r="O17" s="23">
        <v>5.4</v>
      </c>
      <c r="P17" s="177"/>
      <c r="Q17" s="6"/>
      <c r="R17" s="178"/>
      <c r="S17" s="4"/>
      <c r="T17" s="5"/>
      <c r="U17" s="27" t="s">
        <v>135</v>
      </c>
      <c r="V17" s="170"/>
    </row>
    <row r="18" spans="2:26" ht="15" x14ac:dyDescent="0.2">
      <c r="B18" s="7" t="s">
        <v>174</v>
      </c>
      <c r="C18" s="12" t="s">
        <v>175</v>
      </c>
      <c r="D18" s="13" t="s">
        <v>10</v>
      </c>
      <c r="E18" s="14">
        <f t="shared" si="7"/>
        <v>4.7952000000000004</v>
      </c>
      <c r="F18" s="14">
        <f t="shared" si="8"/>
        <v>3.6112000000000002</v>
      </c>
      <c r="G18" s="15">
        <f t="shared" si="0"/>
        <v>6.002891676517244</v>
      </c>
      <c r="H18" s="16">
        <f t="shared" si="1"/>
        <v>7.2076288624069074</v>
      </c>
      <c r="I18" s="17">
        <v>648</v>
      </c>
      <c r="J18" s="18" t="s">
        <v>19</v>
      </c>
      <c r="K18" s="19">
        <v>488</v>
      </c>
      <c r="L18" s="20">
        <f t="shared" si="2"/>
        <v>0.31622400000000001</v>
      </c>
      <c r="M18" s="21">
        <v>7.4</v>
      </c>
      <c r="N18" s="22" t="s">
        <v>19</v>
      </c>
      <c r="O18" s="23">
        <v>7.4</v>
      </c>
      <c r="P18" s="177"/>
      <c r="Q18" s="6"/>
      <c r="R18" s="178"/>
      <c r="S18" s="4"/>
      <c r="T18" s="5"/>
      <c r="U18" s="27" t="s">
        <v>136</v>
      </c>
      <c r="V18" s="170" t="s">
        <v>176</v>
      </c>
    </row>
    <row r="19" spans="2:26" ht="15" x14ac:dyDescent="0.2">
      <c r="B19" s="8" t="s">
        <v>12</v>
      </c>
      <c r="C19" s="12" t="s">
        <v>79</v>
      </c>
      <c r="D19" s="13" t="s">
        <v>11</v>
      </c>
      <c r="E19" s="14">
        <f t="shared" si="7"/>
        <v>19.722239999999999</v>
      </c>
      <c r="F19" s="14">
        <f t="shared" si="8"/>
        <v>13.148160000000001</v>
      </c>
      <c r="G19" s="15">
        <f t="shared" si="0"/>
        <v>23.703182529002305</v>
      </c>
      <c r="H19" s="16">
        <f t="shared" si="1"/>
        <v>1.8253504672897196</v>
      </c>
      <c r="I19" s="17">
        <v>3072</v>
      </c>
      <c r="J19" s="18" t="s">
        <v>19</v>
      </c>
      <c r="K19" s="19">
        <v>2048</v>
      </c>
      <c r="L19" s="20">
        <f t="shared" si="2"/>
        <v>6.2914560000000002</v>
      </c>
      <c r="M19" s="21">
        <v>6.42</v>
      </c>
      <c r="N19" s="22" t="s">
        <v>19</v>
      </c>
      <c r="O19" s="23">
        <v>6.42</v>
      </c>
      <c r="P19" s="177">
        <f>E19/(M19*10^(-3))</f>
        <v>3071.9999999999995</v>
      </c>
      <c r="Q19" s="6" t="s">
        <v>19</v>
      </c>
      <c r="R19" s="178">
        <f>F19/(O19*10^(-3))</f>
        <v>2048</v>
      </c>
      <c r="S19" s="4">
        <f>P19-I19</f>
        <v>0</v>
      </c>
      <c r="T19" s="5">
        <f>R19-K19</f>
        <v>0</v>
      </c>
      <c r="U19" s="27"/>
      <c r="V19" s="170"/>
    </row>
    <row r="20" spans="2:26" ht="15" x14ac:dyDescent="0.2">
      <c r="B20" s="8" t="s">
        <v>12</v>
      </c>
      <c r="C20" s="12" t="s">
        <v>30</v>
      </c>
      <c r="D20" s="13" t="s">
        <v>11</v>
      </c>
      <c r="E20" s="14">
        <f t="shared" si="7"/>
        <v>22.20036</v>
      </c>
      <c r="F20" s="14">
        <f t="shared" si="8"/>
        <v>14.798100000000002</v>
      </c>
      <c r="G20" s="15">
        <f t="shared" si="0"/>
        <v>26.680325105582956</v>
      </c>
      <c r="H20" s="16">
        <f t="shared" si="1"/>
        <v>1.6216674697308759</v>
      </c>
      <c r="I20" s="17">
        <v>3458</v>
      </c>
      <c r="J20" s="18" t="s">
        <v>19</v>
      </c>
      <c r="K20" s="19">
        <v>2305</v>
      </c>
      <c r="L20" s="20">
        <f t="shared" si="2"/>
        <v>7.9706900000000003</v>
      </c>
      <c r="M20" s="21">
        <v>6.42</v>
      </c>
      <c r="N20" s="22" t="s">
        <v>19</v>
      </c>
      <c r="O20" s="23">
        <v>6.42</v>
      </c>
      <c r="P20" s="177">
        <f>E20/(M20*10^(-3))</f>
        <v>3458</v>
      </c>
      <c r="Q20" s="6" t="s">
        <v>19</v>
      </c>
      <c r="R20" s="178">
        <f>F20/(O20*10^(-3))</f>
        <v>2305</v>
      </c>
      <c r="S20" s="4">
        <f>P20-I20</f>
        <v>0</v>
      </c>
      <c r="T20" s="5">
        <f>R20-K20</f>
        <v>0</v>
      </c>
      <c r="U20" s="27"/>
      <c r="V20" s="170"/>
    </row>
    <row r="21" spans="2:26" ht="15" x14ac:dyDescent="0.2">
      <c r="B21" s="8" t="s">
        <v>12</v>
      </c>
      <c r="C21" s="12" t="s">
        <v>111</v>
      </c>
      <c r="D21" s="13" t="s">
        <v>11</v>
      </c>
      <c r="E21" s="14">
        <f t="shared" si="7"/>
        <v>24.96096</v>
      </c>
      <c r="F21" s="14">
        <f t="shared" si="8"/>
        <v>16.640640000000001</v>
      </c>
      <c r="G21" s="15">
        <f t="shared" si="0"/>
        <v>29.999340388268539</v>
      </c>
      <c r="H21" s="16">
        <f t="shared" si="1"/>
        <v>1.4422522210684205</v>
      </c>
      <c r="I21" s="17">
        <v>3888</v>
      </c>
      <c r="J21" s="18" t="s">
        <v>19</v>
      </c>
      <c r="K21" s="19">
        <v>2592</v>
      </c>
      <c r="L21" s="20">
        <f t="shared" si="2"/>
        <v>10.077696</v>
      </c>
      <c r="M21" s="21">
        <v>6.42</v>
      </c>
      <c r="N21" s="22" t="s">
        <v>19</v>
      </c>
      <c r="O21" s="23">
        <v>6.42</v>
      </c>
      <c r="P21" s="177"/>
      <c r="Q21" s="6"/>
      <c r="R21" s="178"/>
      <c r="S21" s="4"/>
      <c r="T21" s="5"/>
      <c r="U21" s="27"/>
      <c r="V21" s="170"/>
    </row>
    <row r="22" spans="2:26" ht="15" x14ac:dyDescent="0.2">
      <c r="B22" s="8" t="s">
        <v>12</v>
      </c>
      <c r="C22" s="12" t="s">
        <v>299</v>
      </c>
      <c r="D22" s="13" t="s">
        <v>11</v>
      </c>
      <c r="E22" s="14">
        <v>22.2</v>
      </c>
      <c r="F22" s="14">
        <v>14.8</v>
      </c>
      <c r="G22" s="15">
        <f>SQRT(E22^2+F22^2)</f>
        <v>26.681079438433521</v>
      </c>
      <c r="H22" s="16">
        <f>IF(E22=0,"",SQRT((36^2)+(24^2))/SQRT((E22^2)+(F22^2)))</f>
        <v>1.6216216216216217</v>
      </c>
      <c r="I22" s="17">
        <v>4272</v>
      </c>
      <c r="J22" s="18" t="s">
        <v>19</v>
      </c>
      <c r="K22" s="19">
        <v>2848</v>
      </c>
      <c r="L22" s="20">
        <f>IF(H22=0,"",I22*K22/10^6)</f>
        <v>12.166656</v>
      </c>
      <c r="M22" s="21">
        <v>6.42</v>
      </c>
      <c r="N22" s="22" t="s">
        <v>19</v>
      </c>
      <c r="O22" s="23">
        <v>6.42</v>
      </c>
      <c r="P22" s="177"/>
      <c r="Q22" s="6"/>
      <c r="R22" s="178"/>
      <c r="S22" s="4"/>
      <c r="T22" s="5"/>
      <c r="U22" s="27"/>
      <c r="V22" s="170"/>
    </row>
    <row r="23" spans="2:26" ht="15" x14ac:dyDescent="0.2">
      <c r="B23" s="8" t="s">
        <v>12</v>
      </c>
      <c r="C23" s="12" t="s">
        <v>99</v>
      </c>
      <c r="D23" s="13" t="s">
        <v>11</v>
      </c>
      <c r="E23" s="14">
        <f t="shared" si="7"/>
        <v>36.054720000000003</v>
      </c>
      <c r="F23" s="14">
        <f t="shared" si="8"/>
        <v>24.036480000000001</v>
      </c>
      <c r="G23" s="14">
        <f>SQRT(E23^2+F23^2)</f>
        <v>43.332380560832334</v>
      </c>
      <c r="H23" s="24">
        <f t="shared" si="1"/>
        <v>0.99848230689352191</v>
      </c>
      <c r="I23" s="17">
        <v>5616</v>
      </c>
      <c r="J23" s="18" t="s">
        <v>19</v>
      </c>
      <c r="K23" s="19">
        <v>3744</v>
      </c>
      <c r="L23" s="20">
        <f t="shared" si="2"/>
        <v>21.026304</v>
      </c>
      <c r="M23" s="21">
        <v>6.42</v>
      </c>
      <c r="N23" s="22" t="s">
        <v>19</v>
      </c>
      <c r="O23" s="23">
        <v>6.42</v>
      </c>
      <c r="P23" s="177"/>
      <c r="Q23" s="6"/>
      <c r="R23" s="178"/>
      <c r="S23" s="4"/>
      <c r="T23" s="5"/>
      <c r="U23" s="27"/>
      <c r="V23" s="52" t="s">
        <v>100</v>
      </c>
      <c r="W23" s="51">
        <v>1920</v>
      </c>
      <c r="X23" s="18" t="s">
        <v>19</v>
      </c>
      <c r="Y23" s="19">
        <v>1080</v>
      </c>
      <c r="Z23" s="20">
        <f>IF(V23=0,"",W23*Y23/10^6)</f>
        <v>2.0735999999999999</v>
      </c>
    </row>
    <row r="24" spans="2:26" ht="15" x14ac:dyDescent="0.2">
      <c r="B24" s="8" t="s">
        <v>12</v>
      </c>
      <c r="C24" s="12" t="s">
        <v>316</v>
      </c>
      <c r="D24" s="13" t="s">
        <v>11</v>
      </c>
      <c r="E24" s="14">
        <v>22.3</v>
      </c>
      <c r="F24" s="14">
        <v>14.9</v>
      </c>
      <c r="G24" s="14">
        <f>SQRT(E24^2+F24^2)</f>
        <v>26.819768828235638</v>
      </c>
      <c r="H24" s="24">
        <f t="shared" si="1"/>
        <v>1.6132359522807345</v>
      </c>
      <c r="I24" s="17">
        <v>5184</v>
      </c>
      <c r="J24" s="18" t="s">
        <v>19</v>
      </c>
      <c r="K24" s="19">
        <v>3456</v>
      </c>
      <c r="L24" s="20">
        <f t="shared" si="2"/>
        <v>17.915904000000001</v>
      </c>
      <c r="M24" s="21">
        <v>6.42</v>
      </c>
      <c r="N24" s="22" t="s">
        <v>19</v>
      </c>
      <c r="O24" s="23">
        <v>6.42</v>
      </c>
      <c r="P24" s="177"/>
      <c r="Q24" s="6"/>
      <c r="R24" s="178"/>
      <c r="S24" s="4"/>
      <c r="T24" s="5"/>
      <c r="U24" s="27"/>
      <c r="V24" s="52"/>
      <c r="W24" s="51"/>
      <c r="X24" s="18"/>
      <c r="Y24" s="51"/>
      <c r="Z24" s="410"/>
    </row>
    <row r="25" spans="2:26" ht="15" x14ac:dyDescent="0.2">
      <c r="B25" s="8" t="s">
        <v>12</v>
      </c>
      <c r="C25" s="12" t="s">
        <v>119</v>
      </c>
      <c r="D25" s="13" t="s">
        <v>11</v>
      </c>
      <c r="E25" s="14">
        <f t="shared" si="7"/>
        <v>24.96096</v>
      </c>
      <c r="F25" s="14">
        <f t="shared" si="8"/>
        <v>16.640640000000001</v>
      </c>
      <c r="G25" s="15">
        <f t="shared" si="0"/>
        <v>29.999340388268539</v>
      </c>
      <c r="H25" s="16">
        <f t="shared" si="1"/>
        <v>1.4422522210684205</v>
      </c>
      <c r="I25" s="17">
        <v>3888</v>
      </c>
      <c r="J25" s="18" t="s">
        <v>19</v>
      </c>
      <c r="K25" s="19">
        <v>2592</v>
      </c>
      <c r="L25" s="20">
        <f t="shared" si="2"/>
        <v>10.077696</v>
      </c>
      <c r="M25" s="21">
        <v>6.42</v>
      </c>
      <c r="N25" s="22" t="s">
        <v>19</v>
      </c>
      <c r="O25" s="23">
        <v>6.42</v>
      </c>
      <c r="P25" s="177"/>
      <c r="Q25" s="6"/>
      <c r="R25" s="178"/>
      <c r="S25" s="4"/>
      <c r="T25" s="5"/>
      <c r="U25" s="27"/>
      <c r="V25" s="170"/>
    </row>
    <row r="26" spans="2:26" ht="15" x14ac:dyDescent="0.2">
      <c r="B26" s="8" t="s">
        <v>12</v>
      </c>
      <c r="C26" s="12" t="s">
        <v>186</v>
      </c>
      <c r="D26" s="13" t="s">
        <v>11</v>
      </c>
      <c r="E26" s="14">
        <v>22.3</v>
      </c>
      <c r="F26" s="14">
        <v>14.9</v>
      </c>
      <c r="G26" s="15">
        <f t="shared" si="0"/>
        <v>26.819768828235638</v>
      </c>
      <c r="H26" s="16">
        <f t="shared" si="1"/>
        <v>1.6132359522807345</v>
      </c>
      <c r="I26" s="17">
        <f>E26*10^3/M26</f>
        <v>3473.5202492211838</v>
      </c>
      <c r="J26" s="18" t="s">
        <v>19</v>
      </c>
      <c r="K26" s="19">
        <f>F26*10^3/O26</f>
        <v>2320.8722741433021</v>
      </c>
      <c r="L26" s="20">
        <f t="shared" si="2"/>
        <v>8.0615968400927773</v>
      </c>
      <c r="M26" s="21">
        <v>6.42</v>
      </c>
      <c r="N26" s="22" t="s">
        <v>19</v>
      </c>
      <c r="O26" s="23">
        <v>6.42</v>
      </c>
      <c r="P26" s="177"/>
      <c r="Q26" s="6"/>
      <c r="R26" s="178"/>
      <c r="S26" s="4"/>
      <c r="T26" s="5"/>
      <c r="U26" s="27"/>
      <c r="V26" s="170"/>
    </row>
    <row r="27" spans="2:26" ht="15" x14ac:dyDescent="0.2">
      <c r="B27" s="7" t="s">
        <v>26</v>
      </c>
      <c r="C27" s="12" t="s">
        <v>25</v>
      </c>
      <c r="D27" s="13" t="s">
        <v>10</v>
      </c>
      <c r="E27" s="14">
        <f t="shared" si="7"/>
        <v>3.5840000000000001</v>
      </c>
      <c r="F27" s="14">
        <f t="shared" si="8"/>
        <v>2.6880000000000002</v>
      </c>
      <c r="G27" s="15">
        <f t="shared" si="0"/>
        <v>4.4800000000000004</v>
      </c>
      <c r="H27" s="16">
        <f t="shared" si="1"/>
        <v>9.6577266307071135</v>
      </c>
      <c r="I27" s="17">
        <v>640</v>
      </c>
      <c r="J27" s="18" t="s">
        <v>19</v>
      </c>
      <c r="K27" s="19">
        <v>480</v>
      </c>
      <c r="L27" s="20">
        <f t="shared" si="2"/>
        <v>0.30719999999999997</v>
      </c>
      <c r="M27" s="21">
        <v>5.6</v>
      </c>
      <c r="N27" s="22" t="s">
        <v>19</v>
      </c>
      <c r="O27" s="23">
        <v>5.6</v>
      </c>
      <c r="P27" s="177">
        <f>E27/(M27*10^(-3))</f>
        <v>640</v>
      </c>
      <c r="Q27" s="6" t="s">
        <v>19</v>
      </c>
      <c r="R27" s="178">
        <f>F27/(O27*10^(-3))</f>
        <v>480.00000000000006</v>
      </c>
      <c r="S27" s="4">
        <f>P27-I27</f>
        <v>0</v>
      </c>
      <c r="T27" s="5">
        <f>R27-K27</f>
        <v>0</v>
      </c>
      <c r="U27" s="27"/>
      <c r="V27" s="170"/>
    </row>
    <row r="28" spans="2:26" ht="15" x14ac:dyDescent="0.2">
      <c r="B28" s="9" t="s">
        <v>15</v>
      </c>
      <c r="C28" s="12" t="s">
        <v>16</v>
      </c>
      <c r="D28" s="13" t="s">
        <v>10</v>
      </c>
      <c r="E28" s="14">
        <f t="shared" si="7"/>
        <v>9.9459</v>
      </c>
      <c r="F28" s="14">
        <f t="shared" si="8"/>
        <v>7.5866400000000001</v>
      </c>
      <c r="G28" s="15">
        <f t="shared" si="0"/>
        <v>12.509118006462325</v>
      </c>
      <c r="H28" s="16">
        <f t="shared" si="1"/>
        <v>3.4588062310401058</v>
      </c>
      <c r="I28" s="17">
        <v>1290</v>
      </c>
      <c r="J28" s="18" t="s">
        <v>19</v>
      </c>
      <c r="K28" s="19">
        <v>984</v>
      </c>
      <c r="L28" s="20">
        <f t="shared" si="2"/>
        <v>1.26936</v>
      </c>
      <c r="M28" s="21">
        <v>7.71</v>
      </c>
      <c r="N28" s="22" t="s">
        <v>19</v>
      </c>
      <c r="O28" s="23">
        <f>M28</f>
        <v>7.71</v>
      </c>
      <c r="P28" s="177">
        <f>E28/(M28*10^(-3))</f>
        <v>1290</v>
      </c>
      <c r="Q28" s="6" t="s">
        <v>19</v>
      </c>
      <c r="R28" s="178">
        <f>F28/(O28*10^(-3))</f>
        <v>984</v>
      </c>
      <c r="S28" s="4">
        <f>P28-I28</f>
        <v>0</v>
      </c>
      <c r="T28" s="5">
        <f>R28-K28</f>
        <v>0</v>
      </c>
      <c r="U28" s="27"/>
      <c r="V28" s="170"/>
    </row>
    <row r="29" spans="2:26" ht="15" x14ac:dyDescent="0.2">
      <c r="B29" s="9" t="s">
        <v>87</v>
      </c>
      <c r="C29" s="12" t="s">
        <v>88</v>
      </c>
      <c r="D29" s="13" t="s">
        <v>10</v>
      </c>
      <c r="E29" s="14">
        <f t="shared" si="7"/>
        <v>4.7360000000000007</v>
      </c>
      <c r="F29" s="14">
        <f t="shared" si="8"/>
        <v>3.552</v>
      </c>
      <c r="G29" s="15">
        <f t="shared" si="0"/>
        <v>5.9200000000000008</v>
      </c>
      <c r="H29" s="16">
        <f t="shared" si="1"/>
        <v>7.3085498826972755</v>
      </c>
      <c r="I29" s="17">
        <v>640</v>
      </c>
      <c r="J29" s="18" t="s">
        <v>19</v>
      </c>
      <c r="K29" s="19">
        <v>480</v>
      </c>
      <c r="L29" s="20">
        <f t="shared" si="2"/>
        <v>0.30719999999999997</v>
      </c>
      <c r="M29" s="21">
        <v>7.4</v>
      </c>
      <c r="N29" s="22" t="s">
        <v>19</v>
      </c>
      <c r="O29" s="23">
        <v>7.4</v>
      </c>
      <c r="P29" s="177">
        <f>E29/(M29*10^(-3))</f>
        <v>640.00000000000011</v>
      </c>
      <c r="Q29" s="6" t="s">
        <v>19</v>
      </c>
      <c r="R29" s="178">
        <f>F29/(O29*10^(-3))</f>
        <v>480</v>
      </c>
      <c r="S29" s="4">
        <f>P29-I29</f>
        <v>0</v>
      </c>
      <c r="T29" s="5">
        <f>R29-K29</f>
        <v>0</v>
      </c>
      <c r="U29" s="27" t="s">
        <v>136</v>
      </c>
      <c r="V29" s="170"/>
    </row>
    <row r="30" spans="2:26" ht="15" x14ac:dyDescent="0.2">
      <c r="B30" s="9" t="s">
        <v>161</v>
      </c>
      <c r="C30" s="12" t="s">
        <v>96</v>
      </c>
      <c r="D30" s="13" t="s">
        <v>11</v>
      </c>
      <c r="E30" s="14">
        <f t="shared" si="7"/>
        <v>6.6560000000000006</v>
      </c>
      <c r="F30" s="14">
        <f t="shared" si="8"/>
        <v>5.3248000000000006</v>
      </c>
      <c r="G30" s="15">
        <f t="shared" si="0"/>
        <v>8.5238389848706095</v>
      </c>
      <c r="H30" s="16">
        <f t="shared" si="1"/>
        <v>5.0759540838774599</v>
      </c>
      <c r="I30" s="17">
        <v>1280</v>
      </c>
      <c r="J30" s="18" t="s">
        <v>19</v>
      </c>
      <c r="K30" s="19">
        <v>1024</v>
      </c>
      <c r="L30" s="20">
        <f t="shared" si="2"/>
        <v>1.3107200000000001</v>
      </c>
      <c r="M30" s="21">
        <v>5.2</v>
      </c>
      <c r="N30" s="22" t="s">
        <v>19</v>
      </c>
      <c r="O30" s="23">
        <v>5.2</v>
      </c>
      <c r="P30" s="177">
        <f>E30/(M30*10^(-3))</f>
        <v>1280</v>
      </c>
      <c r="Q30" s="6"/>
      <c r="R30" s="178">
        <f>F30/(O30*10^(-3))</f>
        <v>1024</v>
      </c>
      <c r="S30" s="4">
        <f>P30-I30</f>
        <v>0</v>
      </c>
      <c r="T30" s="5">
        <f>R30-K30</f>
        <v>0</v>
      </c>
      <c r="U30" s="27" t="s">
        <v>98</v>
      </c>
      <c r="V30" s="170"/>
    </row>
    <row r="31" spans="2:26" ht="15" x14ac:dyDescent="0.2">
      <c r="B31" s="9" t="s">
        <v>161</v>
      </c>
      <c r="C31" s="12" t="s">
        <v>162</v>
      </c>
      <c r="D31" s="13" t="s">
        <v>11</v>
      </c>
      <c r="E31" s="14">
        <f>M31*10^(-3)*I31</f>
        <v>4.8</v>
      </c>
      <c r="F31" s="14">
        <f>O31*10^(-3)*K31</f>
        <v>3.5999999999999996</v>
      </c>
      <c r="G31" s="15">
        <f>SQRT(E31^2+F31^2)</f>
        <v>6</v>
      </c>
      <c r="H31" s="16">
        <f>IF(E31=0,"",SQRT((36^2)+(24^2))/SQRT((E31^2)+(F31^2)))</f>
        <v>7.2111025509279791</v>
      </c>
      <c r="I31" s="17">
        <v>1280</v>
      </c>
      <c r="J31" s="18" t="s">
        <v>19</v>
      </c>
      <c r="K31" s="19">
        <v>960</v>
      </c>
      <c r="L31" s="20">
        <f>IF(H31=0,"",I31*K31/10^6)</f>
        <v>1.2287999999999999</v>
      </c>
      <c r="M31" s="21">
        <v>3.75</v>
      </c>
      <c r="N31" s="22" t="s">
        <v>19</v>
      </c>
      <c r="O31" s="23">
        <v>3.75</v>
      </c>
      <c r="P31" s="177"/>
      <c r="Q31" s="6"/>
      <c r="R31" s="178"/>
      <c r="S31" s="4"/>
      <c r="T31" s="5"/>
      <c r="U31" s="27" t="s">
        <v>163</v>
      </c>
      <c r="V31" s="170"/>
    </row>
    <row r="32" spans="2:26" ht="15" x14ac:dyDescent="0.2">
      <c r="B32" s="9" t="s">
        <v>161</v>
      </c>
      <c r="C32" s="12" t="s">
        <v>206</v>
      </c>
      <c r="D32" s="13" t="s">
        <v>11</v>
      </c>
      <c r="E32" s="14">
        <f>M32*10^(-3)*I32</f>
        <v>5.7023999999999999</v>
      </c>
      <c r="F32" s="14">
        <f>O32*10^(-3)*K32</f>
        <v>4.2768000000000006</v>
      </c>
      <c r="G32" s="15">
        <f>SQRT(E32^2+F32^2)</f>
        <v>7.1280000000000001</v>
      </c>
      <c r="H32" s="16">
        <f>IF(E32=0,"",SQRT((36^2)+(24^2))/SQRT((E32^2)+(F32^2)))</f>
        <v>6.0699516421952682</v>
      </c>
      <c r="I32" s="17">
        <v>2592</v>
      </c>
      <c r="J32" s="18" t="s">
        <v>19</v>
      </c>
      <c r="K32" s="19">
        <v>1944</v>
      </c>
      <c r="L32" s="20">
        <f>IF(H32=0,"",I32*K32/10^6)</f>
        <v>5.0388479999999998</v>
      </c>
      <c r="M32" s="21">
        <v>2.2000000000000002</v>
      </c>
      <c r="N32" s="22" t="s">
        <v>19</v>
      </c>
      <c r="O32" s="23">
        <v>2.2000000000000002</v>
      </c>
      <c r="P32" s="177"/>
      <c r="Q32" s="6"/>
      <c r="R32" s="178"/>
      <c r="S32" s="4"/>
      <c r="T32" s="5"/>
      <c r="U32" s="171" t="s">
        <v>207</v>
      </c>
      <c r="V32" s="170"/>
    </row>
    <row r="33" spans="2:22" ht="15" x14ac:dyDescent="0.2">
      <c r="B33" s="9" t="s">
        <v>161</v>
      </c>
      <c r="C33" s="12" t="s">
        <v>102</v>
      </c>
      <c r="D33" s="13" t="s">
        <v>10</v>
      </c>
      <c r="E33" s="14">
        <f t="shared" si="7"/>
        <v>24.257999999999999</v>
      </c>
      <c r="F33" s="14">
        <f t="shared" si="8"/>
        <v>15.834</v>
      </c>
      <c r="G33" s="15">
        <f t="shared" si="0"/>
        <v>28.968364123643571</v>
      </c>
      <c r="H33" s="16">
        <f t="shared" si="1"/>
        <v>1.4935815885528128</v>
      </c>
      <c r="I33" s="17">
        <v>3110</v>
      </c>
      <c r="J33" s="18" t="s">
        <v>19</v>
      </c>
      <c r="K33" s="19">
        <v>2030</v>
      </c>
      <c r="L33" s="20">
        <f t="shared" si="2"/>
        <v>6.3132999999999999</v>
      </c>
      <c r="M33" s="21">
        <v>7.8</v>
      </c>
      <c r="N33" s="22" t="s">
        <v>19</v>
      </c>
      <c r="O33" s="23">
        <v>7.8</v>
      </c>
      <c r="P33" s="177"/>
      <c r="Q33" s="6"/>
      <c r="R33" s="178"/>
      <c r="S33" s="4"/>
      <c r="T33" s="5"/>
      <c r="U33" s="27" t="s">
        <v>143</v>
      </c>
      <c r="V33" s="170"/>
    </row>
    <row r="34" spans="2:22" ht="15" x14ac:dyDescent="0.2">
      <c r="B34" s="9" t="s">
        <v>161</v>
      </c>
      <c r="C34" s="12" t="s">
        <v>101</v>
      </c>
      <c r="D34" s="13" t="s">
        <v>10</v>
      </c>
      <c r="E34" s="14">
        <f t="shared" si="7"/>
        <v>17.9604</v>
      </c>
      <c r="F34" s="14">
        <f t="shared" si="8"/>
        <v>13.521600000000001</v>
      </c>
      <c r="G34" s="15">
        <f t="shared" si="0"/>
        <v>22.481317459615219</v>
      </c>
      <c r="H34" s="16">
        <f t="shared" si="1"/>
        <v>1.9245587089498093</v>
      </c>
      <c r="I34" s="17">
        <v>3326</v>
      </c>
      <c r="J34" s="18" t="s">
        <v>19</v>
      </c>
      <c r="K34" s="19">
        <v>2504</v>
      </c>
      <c r="L34" s="20">
        <f t="shared" si="2"/>
        <v>8.3283039999999993</v>
      </c>
      <c r="M34" s="21">
        <v>5.4</v>
      </c>
      <c r="N34" s="22" t="s">
        <v>19</v>
      </c>
      <c r="O34" s="23">
        <v>5.4</v>
      </c>
      <c r="P34" s="177"/>
      <c r="Q34" s="6"/>
      <c r="R34" s="178"/>
      <c r="S34" s="4"/>
      <c r="T34" s="5"/>
      <c r="U34" s="28" t="s">
        <v>135</v>
      </c>
      <c r="V34" s="170"/>
    </row>
    <row r="35" spans="2:22" ht="15" x14ac:dyDescent="0.2">
      <c r="B35" s="9" t="s">
        <v>161</v>
      </c>
      <c r="C35" s="12" t="s">
        <v>117</v>
      </c>
      <c r="D35" s="13" t="s">
        <v>10</v>
      </c>
      <c r="E35" s="14">
        <f t="shared" si="7"/>
        <v>23.603200000000001</v>
      </c>
      <c r="F35" s="14">
        <f t="shared" si="8"/>
        <v>15.769600000000001</v>
      </c>
      <c r="G35" s="15">
        <f t="shared" si="0"/>
        <v>28.386463929133548</v>
      </c>
      <c r="H35" s="16">
        <f t="shared" si="1"/>
        <v>1.5241988369380011</v>
      </c>
      <c r="I35" s="17">
        <v>4610</v>
      </c>
      <c r="J35" s="18" t="s">
        <v>19</v>
      </c>
      <c r="K35" s="19">
        <v>3080</v>
      </c>
      <c r="L35" s="20">
        <f t="shared" si="2"/>
        <v>14.1988</v>
      </c>
      <c r="M35" s="21">
        <v>5.12</v>
      </c>
      <c r="N35" s="22" t="s">
        <v>19</v>
      </c>
      <c r="O35" s="23">
        <v>5.12</v>
      </c>
      <c r="P35" s="177"/>
      <c r="Q35" s="6"/>
      <c r="R35" s="178"/>
      <c r="S35" s="4"/>
      <c r="T35" s="5"/>
      <c r="U35" s="28"/>
      <c r="V35" s="170"/>
    </row>
    <row r="36" spans="2:22" ht="15" x14ac:dyDescent="0.2">
      <c r="B36" s="7" t="s">
        <v>33</v>
      </c>
      <c r="C36" s="12" t="s">
        <v>54</v>
      </c>
      <c r="D36" s="13" t="s">
        <v>11</v>
      </c>
      <c r="E36" s="14">
        <f t="shared" si="7"/>
        <v>5.1840000000000002</v>
      </c>
      <c r="F36" s="14">
        <f t="shared" si="8"/>
        <v>3.9039999999999999</v>
      </c>
      <c r="G36" s="15">
        <f t="shared" si="0"/>
        <v>6.4896126232618849</v>
      </c>
      <c r="H36" s="16">
        <f t="shared" si="1"/>
        <v>6.6670566977263892</v>
      </c>
      <c r="I36" s="17">
        <v>648</v>
      </c>
      <c r="J36" s="18" t="s">
        <v>19</v>
      </c>
      <c r="K36" s="19">
        <v>488</v>
      </c>
      <c r="L36" s="20">
        <f t="shared" si="2"/>
        <v>0.31622400000000001</v>
      </c>
      <c r="M36" s="21">
        <v>8</v>
      </c>
      <c r="N36" s="22" t="s">
        <v>19</v>
      </c>
      <c r="O36" s="23">
        <v>8</v>
      </c>
      <c r="P36" s="177">
        <f t="shared" ref="P36:P58" si="9">E36/(M36*10^(-3))</f>
        <v>648</v>
      </c>
      <c r="Q36" s="6" t="s">
        <v>19</v>
      </c>
      <c r="R36" s="178">
        <f t="shared" ref="R36:R58" si="10">F36/(O36*10^(-3))</f>
        <v>488</v>
      </c>
      <c r="S36" s="4">
        <f t="shared" ref="S36:S58" si="11">P36-I36</f>
        <v>0</v>
      </c>
      <c r="T36" s="5">
        <f t="shared" ref="T36:T58" si="12">R36-K36</f>
        <v>0</v>
      </c>
      <c r="U36" s="27"/>
      <c r="V36" s="170"/>
    </row>
    <row r="37" spans="2:22" ht="15" x14ac:dyDescent="0.2">
      <c r="B37" s="7" t="s">
        <v>33</v>
      </c>
      <c r="C37" s="12" t="s">
        <v>34</v>
      </c>
      <c r="D37" s="13" t="s">
        <v>10</v>
      </c>
      <c r="E37" s="14">
        <f t="shared" si="7"/>
        <v>6.8966399999999997</v>
      </c>
      <c r="F37" s="14">
        <f t="shared" si="8"/>
        <v>5.1185999999999998</v>
      </c>
      <c r="G37" s="15">
        <f t="shared" si="0"/>
        <v>8.5885801649399536</v>
      </c>
      <c r="H37" s="16">
        <f t="shared" si="1"/>
        <v>5.0376912684810886</v>
      </c>
      <c r="I37" s="17">
        <v>768</v>
      </c>
      <c r="J37" s="18" t="s">
        <v>19</v>
      </c>
      <c r="K37" s="19">
        <v>570</v>
      </c>
      <c r="L37" s="20">
        <f t="shared" si="2"/>
        <v>0.43775999999999998</v>
      </c>
      <c r="M37" s="21">
        <v>8.98</v>
      </c>
      <c r="N37" s="22" t="s">
        <v>19</v>
      </c>
      <c r="O37" s="23">
        <f>M37</f>
        <v>8.98</v>
      </c>
      <c r="P37" s="177">
        <f t="shared" si="9"/>
        <v>768</v>
      </c>
      <c r="Q37" s="6" t="s">
        <v>19</v>
      </c>
      <c r="R37" s="178">
        <f t="shared" si="10"/>
        <v>570</v>
      </c>
      <c r="S37" s="4">
        <f t="shared" si="11"/>
        <v>0</v>
      </c>
      <c r="T37" s="5">
        <f t="shared" si="12"/>
        <v>0</v>
      </c>
      <c r="U37" s="27"/>
      <c r="V37" s="170"/>
    </row>
    <row r="38" spans="2:22" ht="15" x14ac:dyDescent="0.2">
      <c r="B38" s="7" t="s">
        <v>33</v>
      </c>
      <c r="C38" s="12" t="s">
        <v>64</v>
      </c>
      <c r="D38" s="13" t="s">
        <v>10</v>
      </c>
      <c r="E38" s="14">
        <f t="shared" si="7"/>
        <v>6.4672000000000001</v>
      </c>
      <c r="F38" s="14">
        <f t="shared" si="8"/>
        <v>5.0052000000000003</v>
      </c>
      <c r="G38" s="15">
        <f t="shared" si="0"/>
        <v>8.1778177333564965</v>
      </c>
      <c r="H38" s="16">
        <f t="shared" si="1"/>
        <v>5.2907287391705617</v>
      </c>
      <c r="I38" s="17">
        <v>752</v>
      </c>
      <c r="J38" s="18" t="s">
        <v>19</v>
      </c>
      <c r="K38" s="19">
        <v>582</v>
      </c>
      <c r="L38" s="20">
        <f t="shared" si="2"/>
        <v>0.437664</v>
      </c>
      <c r="M38" s="21">
        <v>8.6</v>
      </c>
      <c r="N38" s="22" t="s">
        <v>19</v>
      </c>
      <c r="O38" s="23">
        <v>8.6</v>
      </c>
      <c r="P38" s="177">
        <f t="shared" si="9"/>
        <v>752</v>
      </c>
      <c r="Q38" s="6" t="s">
        <v>19</v>
      </c>
      <c r="R38" s="178">
        <f t="shared" si="10"/>
        <v>582</v>
      </c>
      <c r="S38" s="4">
        <f t="shared" si="11"/>
        <v>0</v>
      </c>
      <c r="T38" s="5">
        <f t="shared" si="12"/>
        <v>0</v>
      </c>
      <c r="U38" s="27" t="s">
        <v>124</v>
      </c>
      <c r="V38" s="170"/>
    </row>
    <row r="39" spans="2:22" ht="15" x14ac:dyDescent="0.2">
      <c r="B39" s="8" t="s">
        <v>13</v>
      </c>
      <c r="C39" s="12" t="s">
        <v>14</v>
      </c>
      <c r="D39" s="13" t="s">
        <v>10</v>
      </c>
      <c r="E39" s="14">
        <f t="shared" si="7"/>
        <v>7.2290400000000012</v>
      </c>
      <c r="F39" s="14">
        <f t="shared" si="8"/>
        <v>5.3695200000000005</v>
      </c>
      <c r="G39" s="15">
        <f t="shared" si="0"/>
        <v>9.0050410522107018</v>
      </c>
      <c r="H39" s="16">
        <f t="shared" si="1"/>
        <v>4.8047105010083317</v>
      </c>
      <c r="I39" s="17">
        <v>2317</v>
      </c>
      <c r="J39" s="18" t="s">
        <v>19</v>
      </c>
      <c r="K39" s="19">
        <v>1721</v>
      </c>
      <c r="L39" s="20">
        <f t="shared" si="2"/>
        <v>3.9875569999999998</v>
      </c>
      <c r="M39" s="21">
        <v>3.12</v>
      </c>
      <c r="N39" s="22" t="s">
        <v>19</v>
      </c>
      <c r="O39" s="23">
        <v>3.12</v>
      </c>
      <c r="P39" s="177">
        <f t="shared" si="9"/>
        <v>2317</v>
      </c>
      <c r="Q39" s="6" t="s">
        <v>19</v>
      </c>
      <c r="R39" s="178">
        <f t="shared" si="10"/>
        <v>1721</v>
      </c>
      <c r="S39" s="4">
        <f t="shared" si="11"/>
        <v>0</v>
      </c>
      <c r="T39" s="5">
        <f t="shared" si="12"/>
        <v>0</v>
      </c>
      <c r="U39" s="27"/>
      <c r="V39" s="170"/>
    </row>
    <row r="40" spans="2:22" ht="15" x14ac:dyDescent="0.2">
      <c r="B40" s="8" t="s">
        <v>13</v>
      </c>
      <c r="C40" s="12" t="s">
        <v>55</v>
      </c>
      <c r="D40" s="13" t="s">
        <v>10</v>
      </c>
      <c r="E40" s="14">
        <f t="shared" si="7"/>
        <v>23.49248</v>
      </c>
      <c r="F40" s="14">
        <f t="shared" si="8"/>
        <v>15.59657</v>
      </c>
      <c r="G40" s="15">
        <f t="shared" si="0"/>
        <v>28.198397335935603</v>
      </c>
      <c r="H40" s="16">
        <f t="shared" si="1"/>
        <v>1.5343643395800217</v>
      </c>
      <c r="I40" s="17">
        <v>3008</v>
      </c>
      <c r="J40" s="18" t="s">
        <v>19</v>
      </c>
      <c r="K40" s="19">
        <v>1997</v>
      </c>
      <c r="L40" s="20">
        <f t="shared" si="2"/>
        <v>6.0069759999999999</v>
      </c>
      <c r="M40" s="21">
        <v>7.81</v>
      </c>
      <c r="N40" s="22" t="s">
        <v>19</v>
      </c>
      <c r="O40" s="23">
        <f>M40</f>
        <v>7.81</v>
      </c>
      <c r="P40" s="177">
        <f t="shared" si="9"/>
        <v>3008</v>
      </c>
      <c r="Q40" s="6" t="s">
        <v>19</v>
      </c>
      <c r="R40" s="178">
        <f t="shared" si="10"/>
        <v>1997</v>
      </c>
      <c r="S40" s="4">
        <f t="shared" si="11"/>
        <v>0</v>
      </c>
      <c r="T40" s="5">
        <f t="shared" si="12"/>
        <v>0</v>
      </c>
      <c r="U40" s="27"/>
      <c r="V40" s="170"/>
    </row>
    <row r="41" spans="2:22" ht="15" x14ac:dyDescent="0.2">
      <c r="B41" s="8" t="s">
        <v>13</v>
      </c>
      <c r="C41" s="12" t="s">
        <v>293</v>
      </c>
      <c r="D41" s="13" t="s">
        <v>11</v>
      </c>
      <c r="E41" s="14">
        <f>M41*10^(-3)*I41</f>
        <v>35.897472</v>
      </c>
      <c r="F41" s="14">
        <f>O41*10^(-3)*K41</f>
        <v>23.963471999999999</v>
      </c>
      <c r="G41" s="15">
        <f>SQRT(E41^2+F41^2)</f>
        <v>43.161052886665871</v>
      </c>
      <c r="H41" s="16">
        <f>IF(E41=0,"",SQRT((36^2)+(24^2))/SQRT((E41^2)+(F41^2)))</f>
        <v>1.0024457795128212</v>
      </c>
      <c r="I41" s="17">
        <v>6016</v>
      </c>
      <c r="J41" s="18" t="s">
        <v>19</v>
      </c>
      <c r="K41" s="19">
        <v>4016</v>
      </c>
      <c r="L41" s="20">
        <f>IF(H41=0,"",I41*K41/10^6)</f>
        <v>24.160256</v>
      </c>
      <c r="M41" s="21">
        <v>5.9669999999999996</v>
      </c>
      <c r="N41" s="22" t="s">
        <v>19</v>
      </c>
      <c r="O41" s="23">
        <f>M41</f>
        <v>5.9669999999999996</v>
      </c>
      <c r="P41" s="177"/>
      <c r="Q41" s="6"/>
      <c r="R41" s="178"/>
      <c r="S41" s="4"/>
      <c r="T41" s="5"/>
      <c r="U41" s="27"/>
      <c r="V41" s="170"/>
    </row>
    <row r="42" spans="2:22" ht="15" x14ac:dyDescent="0.2">
      <c r="B42" s="8" t="s">
        <v>29</v>
      </c>
      <c r="C42" s="12" t="s">
        <v>63</v>
      </c>
      <c r="D42" s="13" t="s">
        <v>92</v>
      </c>
      <c r="E42" s="14">
        <f t="shared" si="7"/>
        <v>17.9604</v>
      </c>
      <c r="F42" s="14">
        <f t="shared" si="8"/>
        <v>13.521600000000001</v>
      </c>
      <c r="G42" s="15">
        <f t="shared" si="0"/>
        <v>22.481317459615219</v>
      </c>
      <c r="H42" s="16">
        <f t="shared" si="1"/>
        <v>1.9245587089498093</v>
      </c>
      <c r="I42" s="17">
        <v>3326</v>
      </c>
      <c r="J42" s="18" t="s">
        <v>19</v>
      </c>
      <c r="K42" s="19">
        <v>2504</v>
      </c>
      <c r="L42" s="20">
        <f t="shared" si="2"/>
        <v>8.3283039999999993</v>
      </c>
      <c r="M42" s="21">
        <v>5.4</v>
      </c>
      <c r="N42" s="22" t="s">
        <v>19</v>
      </c>
      <c r="O42" s="23">
        <v>5.4</v>
      </c>
      <c r="P42" s="177">
        <f t="shared" si="9"/>
        <v>3326</v>
      </c>
      <c r="Q42" s="6" t="s">
        <v>19</v>
      </c>
      <c r="R42" s="178">
        <f t="shared" si="10"/>
        <v>2504</v>
      </c>
      <c r="S42" s="4">
        <f t="shared" si="11"/>
        <v>0</v>
      </c>
      <c r="T42" s="5">
        <f t="shared" si="12"/>
        <v>0</v>
      </c>
      <c r="U42" s="47" t="s">
        <v>135</v>
      </c>
      <c r="V42" s="170"/>
    </row>
    <row r="43" spans="2:22" ht="15" x14ac:dyDescent="0.2">
      <c r="B43" s="8" t="s">
        <v>76</v>
      </c>
      <c r="C43" s="12" t="s">
        <v>77</v>
      </c>
      <c r="D43" s="13" t="s">
        <v>10</v>
      </c>
      <c r="E43" s="14">
        <f t="shared" si="7"/>
        <v>23.6496</v>
      </c>
      <c r="F43" s="14">
        <f t="shared" si="8"/>
        <v>15.7014</v>
      </c>
      <c r="G43" s="15">
        <f t="shared" si="0"/>
        <v>28.387277821587613</v>
      </c>
      <c r="H43" s="16">
        <f t="shared" si="1"/>
        <v>1.5241551365895678</v>
      </c>
      <c r="I43" s="17">
        <v>3032</v>
      </c>
      <c r="J43" s="18" t="s">
        <v>19</v>
      </c>
      <c r="K43" s="19">
        <v>2013</v>
      </c>
      <c r="L43" s="20">
        <f t="shared" si="2"/>
        <v>6.1034160000000002</v>
      </c>
      <c r="M43" s="21">
        <v>7.8</v>
      </c>
      <c r="N43" s="22" t="s">
        <v>19</v>
      </c>
      <c r="O43" s="23">
        <v>7.8</v>
      </c>
      <c r="P43" s="177">
        <f t="shared" si="9"/>
        <v>3032</v>
      </c>
      <c r="Q43" s="6" t="s">
        <v>19</v>
      </c>
      <c r="R43" s="178">
        <f t="shared" si="10"/>
        <v>2013</v>
      </c>
      <c r="S43" s="4">
        <f t="shared" si="11"/>
        <v>0</v>
      </c>
      <c r="T43" s="5">
        <f t="shared" si="12"/>
        <v>0</v>
      </c>
      <c r="U43" s="27"/>
      <c r="V43" s="170"/>
    </row>
    <row r="44" spans="2:22" ht="15" x14ac:dyDescent="0.2">
      <c r="B44" s="8" t="s">
        <v>37</v>
      </c>
      <c r="C44" s="12" t="s">
        <v>38</v>
      </c>
      <c r="D44" s="13" t="s">
        <v>10</v>
      </c>
      <c r="E44" s="14">
        <f t="shared" si="7"/>
        <v>7.2290400000000012</v>
      </c>
      <c r="F44" s="14">
        <f t="shared" si="8"/>
        <v>5.3695200000000005</v>
      </c>
      <c r="G44" s="15">
        <f t="shared" si="0"/>
        <v>9.0050410522107018</v>
      </c>
      <c r="H44" s="16">
        <f t="shared" si="1"/>
        <v>4.8047105010083317</v>
      </c>
      <c r="I44" s="17">
        <v>2317</v>
      </c>
      <c r="J44" s="18" t="s">
        <v>19</v>
      </c>
      <c r="K44" s="19">
        <v>1721</v>
      </c>
      <c r="L44" s="20">
        <f t="shared" si="2"/>
        <v>3.9875569999999998</v>
      </c>
      <c r="M44" s="21">
        <v>3.12</v>
      </c>
      <c r="N44" s="22" t="s">
        <v>19</v>
      </c>
      <c r="O44" s="23">
        <v>3.12</v>
      </c>
      <c r="P44" s="177">
        <f t="shared" si="9"/>
        <v>2317</v>
      </c>
      <c r="Q44" s="6" t="s">
        <v>19</v>
      </c>
      <c r="R44" s="178">
        <f t="shared" si="10"/>
        <v>1721</v>
      </c>
      <c r="S44" s="4">
        <f t="shared" si="11"/>
        <v>0</v>
      </c>
      <c r="T44" s="5">
        <f t="shared" si="12"/>
        <v>0</v>
      </c>
      <c r="U44" s="27"/>
      <c r="V44" s="170"/>
    </row>
    <row r="45" spans="2:22" ht="15" x14ac:dyDescent="0.2">
      <c r="B45" s="8" t="s">
        <v>27</v>
      </c>
      <c r="C45" s="12" t="s">
        <v>28</v>
      </c>
      <c r="D45" s="13" t="s">
        <v>10</v>
      </c>
      <c r="E45" s="14">
        <f t="shared" si="7"/>
        <v>23.49248</v>
      </c>
      <c r="F45" s="14">
        <f t="shared" si="8"/>
        <v>15.6981</v>
      </c>
      <c r="G45" s="15">
        <f t="shared" si="0"/>
        <v>28.254680323096917</v>
      </c>
      <c r="H45" s="16">
        <f t="shared" si="1"/>
        <v>1.531307904064283</v>
      </c>
      <c r="I45" s="17">
        <v>3008</v>
      </c>
      <c r="J45" s="18" t="s">
        <v>19</v>
      </c>
      <c r="K45" s="19">
        <v>2010</v>
      </c>
      <c r="L45" s="20">
        <f t="shared" si="2"/>
        <v>6.0460799999999999</v>
      </c>
      <c r="M45" s="21">
        <v>7.81</v>
      </c>
      <c r="N45" s="22" t="s">
        <v>19</v>
      </c>
      <c r="O45" s="23">
        <f>M45</f>
        <v>7.81</v>
      </c>
      <c r="P45" s="177">
        <f t="shared" si="9"/>
        <v>3008</v>
      </c>
      <c r="Q45" s="6" t="s">
        <v>19</v>
      </c>
      <c r="R45" s="178">
        <f t="shared" si="10"/>
        <v>2010</v>
      </c>
      <c r="S45" s="4">
        <f t="shared" si="11"/>
        <v>0</v>
      </c>
      <c r="T45" s="5">
        <f t="shared" si="12"/>
        <v>0</v>
      </c>
      <c r="U45" s="27"/>
      <c r="V45" s="170"/>
    </row>
    <row r="46" spans="2:22" ht="15" x14ac:dyDescent="0.2">
      <c r="B46" s="7" t="s">
        <v>9</v>
      </c>
      <c r="C46" s="25" t="s">
        <v>20</v>
      </c>
      <c r="D46" s="13" t="s">
        <v>10</v>
      </c>
      <c r="E46" s="14">
        <f t="shared" si="7"/>
        <v>3.5840000000000001</v>
      </c>
      <c r="F46" s="14">
        <f t="shared" si="8"/>
        <v>2.6880000000000002</v>
      </c>
      <c r="G46" s="15">
        <f t="shared" si="0"/>
        <v>4.4800000000000004</v>
      </c>
      <c r="H46" s="16">
        <f t="shared" si="1"/>
        <v>9.6577266307071135</v>
      </c>
      <c r="I46" s="17">
        <v>640</v>
      </c>
      <c r="J46" s="18" t="s">
        <v>19</v>
      </c>
      <c r="K46" s="19">
        <v>480</v>
      </c>
      <c r="L46" s="20">
        <f t="shared" si="2"/>
        <v>0.30719999999999997</v>
      </c>
      <c r="M46" s="21">
        <v>5.6</v>
      </c>
      <c r="N46" s="22" t="s">
        <v>19</v>
      </c>
      <c r="O46" s="23">
        <v>5.6</v>
      </c>
      <c r="P46" s="177">
        <f t="shared" si="9"/>
        <v>640</v>
      </c>
      <c r="Q46" s="6" t="s">
        <v>19</v>
      </c>
      <c r="R46" s="178">
        <f t="shared" si="10"/>
        <v>480.00000000000006</v>
      </c>
      <c r="S46" s="4">
        <f t="shared" si="11"/>
        <v>0</v>
      </c>
      <c r="T46" s="5">
        <f t="shared" si="12"/>
        <v>0</v>
      </c>
      <c r="U46" s="27" t="s">
        <v>133</v>
      </c>
      <c r="V46" s="170"/>
    </row>
    <row r="47" spans="2:22" ht="15" x14ac:dyDescent="0.2">
      <c r="B47" s="10" t="s">
        <v>22</v>
      </c>
      <c r="C47" s="12" t="s">
        <v>18</v>
      </c>
      <c r="D47" s="13" t="s">
        <v>10</v>
      </c>
      <c r="E47" s="14">
        <f t="shared" si="7"/>
        <v>9.9459</v>
      </c>
      <c r="F47" s="14">
        <f t="shared" si="8"/>
        <v>7.5866400000000001</v>
      </c>
      <c r="G47" s="15">
        <f t="shared" si="0"/>
        <v>12.509118006462325</v>
      </c>
      <c r="H47" s="16">
        <f t="shared" si="1"/>
        <v>3.4588062310401058</v>
      </c>
      <c r="I47" s="17">
        <v>1290</v>
      </c>
      <c r="J47" s="18" t="s">
        <v>19</v>
      </c>
      <c r="K47" s="19">
        <v>984</v>
      </c>
      <c r="L47" s="20">
        <f t="shared" si="2"/>
        <v>1.26936</v>
      </c>
      <c r="M47" s="21">
        <v>7.71</v>
      </c>
      <c r="N47" s="22" t="s">
        <v>19</v>
      </c>
      <c r="O47" s="23">
        <f>M47</f>
        <v>7.71</v>
      </c>
      <c r="P47" s="177">
        <f t="shared" si="9"/>
        <v>1290</v>
      </c>
      <c r="Q47" s="6" t="s">
        <v>19</v>
      </c>
      <c r="R47" s="178">
        <f t="shared" si="10"/>
        <v>984</v>
      </c>
      <c r="S47" s="4">
        <f t="shared" si="11"/>
        <v>0</v>
      </c>
      <c r="T47" s="5">
        <f t="shared" si="12"/>
        <v>0</v>
      </c>
      <c r="U47" s="27"/>
      <c r="V47" s="170"/>
    </row>
    <row r="48" spans="2:22" ht="15" x14ac:dyDescent="0.2">
      <c r="B48" s="7" t="s">
        <v>32</v>
      </c>
      <c r="C48" s="172" t="s">
        <v>152</v>
      </c>
      <c r="D48" s="13" t="s">
        <v>10</v>
      </c>
      <c r="E48" s="14">
        <f t="shared" si="7"/>
        <v>11.84</v>
      </c>
      <c r="F48" s="14">
        <f t="shared" si="8"/>
        <v>8.8800000000000008</v>
      </c>
      <c r="G48" s="15">
        <f t="shared" si="0"/>
        <v>14.8</v>
      </c>
      <c r="H48" s="16">
        <f t="shared" si="1"/>
        <v>2.9234199530789104</v>
      </c>
      <c r="I48" s="17">
        <v>1600</v>
      </c>
      <c r="J48" s="18" t="s">
        <v>19</v>
      </c>
      <c r="K48" s="19">
        <v>1200</v>
      </c>
      <c r="L48" s="20">
        <f t="shared" si="2"/>
        <v>1.92</v>
      </c>
      <c r="M48" s="21">
        <v>7.4</v>
      </c>
      <c r="N48" s="22" t="s">
        <v>19</v>
      </c>
      <c r="O48" s="23">
        <v>7.4</v>
      </c>
      <c r="P48" s="177">
        <f t="shared" si="9"/>
        <v>1600</v>
      </c>
      <c r="Q48" s="6" t="s">
        <v>19</v>
      </c>
      <c r="R48" s="178">
        <f t="shared" si="10"/>
        <v>1200</v>
      </c>
      <c r="S48" s="4">
        <f t="shared" si="11"/>
        <v>0</v>
      </c>
      <c r="T48" s="5">
        <f t="shared" si="12"/>
        <v>0</v>
      </c>
      <c r="U48" s="27" t="s">
        <v>137</v>
      </c>
      <c r="V48" s="170"/>
    </row>
    <row r="49" spans="2:22" ht="15" x14ac:dyDescent="0.2">
      <c r="B49" s="7" t="s">
        <v>32</v>
      </c>
      <c r="C49" s="12" t="s">
        <v>69</v>
      </c>
      <c r="D49" s="13" t="s">
        <v>10</v>
      </c>
      <c r="E49" s="14">
        <f t="shared" si="7"/>
        <v>6.8850000000000007</v>
      </c>
      <c r="F49" s="14">
        <f t="shared" si="8"/>
        <v>4.5900000000000007</v>
      </c>
      <c r="G49" s="15">
        <f t="shared" si="0"/>
        <v>8.2747401771898552</v>
      </c>
      <c r="H49" s="16">
        <f t="shared" si="1"/>
        <v>5.2287581699346415</v>
      </c>
      <c r="I49" s="17">
        <v>765</v>
      </c>
      <c r="J49" s="18"/>
      <c r="K49" s="19">
        <v>510</v>
      </c>
      <c r="L49" s="20">
        <f t="shared" si="2"/>
        <v>0.39015</v>
      </c>
      <c r="M49" s="21">
        <v>9</v>
      </c>
      <c r="N49" s="22" t="s">
        <v>19</v>
      </c>
      <c r="O49" s="23">
        <v>9</v>
      </c>
      <c r="P49" s="177">
        <f t="shared" si="9"/>
        <v>765</v>
      </c>
      <c r="Q49" s="6" t="s">
        <v>19</v>
      </c>
      <c r="R49" s="178">
        <f t="shared" si="10"/>
        <v>510</v>
      </c>
      <c r="S49" s="4">
        <f t="shared" si="11"/>
        <v>0</v>
      </c>
      <c r="T49" s="5">
        <f t="shared" si="12"/>
        <v>0</v>
      </c>
      <c r="U49" s="27" t="s">
        <v>138</v>
      </c>
      <c r="V49" s="170"/>
    </row>
    <row r="50" spans="2:22" ht="15" x14ac:dyDescent="0.2">
      <c r="B50" s="7" t="s">
        <v>32</v>
      </c>
      <c r="C50" s="12" t="s">
        <v>70</v>
      </c>
      <c r="D50" s="13" t="s">
        <v>10</v>
      </c>
      <c r="E50" s="14">
        <f t="shared" si="7"/>
        <v>13.797000000000002</v>
      </c>
      <c r="F50" s="14">
        <f t="shared" si="8"/>
        <v>9.1980000000000004</v>
      </c>
      <c r="G50" s="15">
        <f t="shared" si="0"/>
        <v>16.581930315858887</v>
      </c>
      <c r="H50" s="16">
        <f t="shared" si="1"/>
        <v>2.6092628832354863</v>
      </c>
      <c r="I50" s="17">
        <v>1533</v>
      </c>
      <c r="J50" s="18" t="s">
        <v>19</v>
      </c>
      <c r="K50" s="19">
        <v>1022</v>
      </c>
      <c r="L50" s="20">
        <f t="shared" si="2"/>
        <v>1.5667260000000001</v>
      </c>
      <c r="M50" s="21">
        <v>9</v>
      </c>
      <c r="N50" s="22" t="s">
        <v>19</v>
      </c>
      <c r="O50" s="23">
        <v>9</v>
      </c>
      <c r="P50" s="177">
        <f t="shared" si="9"/>
        <v>1533</v>
      </c>
      <c r="Q50" s="6" t="s">
        <v>19</v>
      </c>
      <c r="R50" s="178">
        <f t="shared" si="10"/>
        <v>1021.9999999999999</v>
      </c>
      <c r="S50" s="4">
        <f t="shared" si="11"/>
        <v>0</v>
      </c>
      <c r="T50" s="5">
        <f t="shared" si="12"/>
        <v>0</v>
      </c>
      <c r="U50" s="27"/>
      <c r="V50" s="170"/>
    </row>
    <row r="51" spans="2:22" ht="15" x14ac:dyDescent="0.2">
      <c r="B51" s="7" t="s">
        <v>32</v>
      </c>
      <c r="C51" s="12" t="s">
        <v>182</v>
      </c>
      <c r="D51" s="13" t="s">
        <v>10</v>
      </c>
      <c r="E51" s="14">
        <f t="shared" si="7"/>
        <v>13.770000000000001</v>
      </c>
      <c r="F51" s="14">
        <f t="shared" si="8"/>
        <v>9.1800000000000015</v>
      </c>
      <c r="G51" s="15">
        <f t="shared" si="0"/>
        <v>16.54948035437971</v>
      </c>
      <c r="H51" s="16">
        <f t="shared" si="1"/>
        <v>2.6143790849673207</v>
      </c>
      <c r="I51" s="17">
        <v>1530</v>
      </c>
      <c r="J51" s="18" t="s">
        <v>19</v>
      </c>
      <c r="K51" s="19">
        <v>1020</v>
      </c>
      <c r="L51" s="20">
        <f t="shared" si="2"/>
        <v>1.5606</v>
      </c>
      <c r="M51" s="21">
        <v>9</v>
      </c>
      <c r="N51" s="22" t="s">
        <v>19</v>
      </c>
      <c r="O51" s="23">
        <v>9</v>
      </c>
      <c r="P51" s="177">
        <f t="shared" si="9"/>
        <v>1530</v>
      </c>
      <c r="Q51" s="6"/>
      <c r="R51" s="178">
        <f t="shared" si="10"/>
        <v>1020</v>
      </c>
      <c r="S51" s="4">
        <f t="shared" si="11"/>
        <v>0</v>
      </c>
      <c r="T51" s="5">
        <f t="shared" si="12"/>
        <v>0</v>
      </c>
      <c r="U51" s="171" t="s">
        <v>184</v>
      </c>
      <c r="V51" s="170" t="s">
        <v>183</v>
      </c>
    </row>
    <row r="52" spans="2:22" ht="15" x14ac:dyDescent="0.2">
      <c r="B52" s="7" t="s">
        <v>32</v>
      </c>
      <c r="C52" s="12" t="s">
        <v>177</v>
      </c>
      <c r="D52" s="13" t="s">
        <v>10</v>
      </c>
      <c r="E52" s="14">
        <f t="shared" si="7"/>
        <v>10.24</v>
      </c>
      <c r="F52" s="14">
        <f t="shared" si="8"/>
        <v>10.24</v>
      </c>
      <c r="G52" s="15">
        <f t="shared" si="0"/>
        <v>14.481546878700494</v>
      </c>
      <c r="H52" s="16">
        <f t="shared" si="1"/>
        <v>2.9877067462457725</v>
      </c>
      <c r="I52" s="17">
        <v>512</v>
      </c>
      <c r="J52" s="18" t="s">
        <v>19</v>
      </c>
      <c r="K52" s="19">
        <v>512</v>
      </c>
      <c r="L52" s="20">
        <f t="shared" si="2"/>
        <v>0.26214399999999999</v>
      </c>
      <c r="M52" s="21">
        <v>20</v>
      </c>
      <c r="N52" s="22" t="s">
        <v>19</v>
      </c>
      <c r="O52" s="23">
        <v>20</v>
      </c>
      <c r="P52" s="177">
        <f t="shared" si="9"/>
        <v>512</v>
      </c>
      <c r="Q52" s="6"/>
      <c r="R52" s="178">
        <f t="shared" si="10"/>
        <v>512</v>
      </c>
      <c r="S52" s="4">
        <f t="shared" si="11"/>
        <v>0</v>
      </c>
      <c r="T52" s="5">
        <f t="shared" si="12"/>
        <v>0</v>
      </c>
      <c r="U52" s="27" t="s">
        <v>178</v>
      </c>
      <c r="V52" s="170"/>
    </row>
    <row r="53" spans="2:22" ht="15" x14ac:dyDescent="0.2">
      <c r="B53" s="7" t="s">
        <v>32</v>
      </c>
      <c r="C53" s="50" t="s">
        <v>65</v>
      </c>
      <c r="D53" s="13" t="s">
        <v>10</v>
      </c>
      <c r="E53" s="14">
        <f t="shared" si="7"/>
        <v>36.072000000000003</v>
      </c>
      <c r="F53" s="14">
        <f t="shared" si="8"/>
        <v>24.048000000000002</v>
      </c>
      <c r="G53" s="15">
        <f t="shared" si="0"/>
        <v>43.353148536179013</v>
      </c>
      <c r="H53" s="16">
        <f t="shared" si="1"/>
        <v>0.99800399201596801</v>
      </c>
      <c r="I53" s="17">
        <v>4008</v>
      </c>
      <c r="J53" s="18" t="s">
        <v>19</v>
      </c>
      <c r="K53" s="19">
        <v>2672</v>
      </c>
      <c r="L53" s="20">
        <f t="shared" si="2"/>
        <v>10.709376000000001</v>
      </c>
      <c r="M53" s="21">
        <v>9</v>
      </c>
      <c r="N53" s="22" t="s">
        <v>19</v>
      </c>
      <c r="O53" s="23">
        <v>9</v>
      </c>
      <c r="P53" s="177">
        <f t="shared" si="9"/>
        <v>4008</v>
      </c>
      <c r="Q53" s="6" t="s">
        <v>19</v>
      </c>
      <c r="R53" s="178">
        <f t="shared" si="10"/>
        <v>2672</v>
      </c>
      <c r="S53" s="4">
        <f t="shared" si="11"/>
        <v>0</v>
      </c>
      <c r="T53" s="5">
        <f t="shared" si="12"/>
        <v>0</v>
      </c>
      <c r="U53" s="27"/>
      <c r="V53" s="170"/>
    </row>
    <row r="54" spans="2:22" ht="15" x14ac:dyDescent="0.2">
      <c r="B54" s="7" t="s">
        <v>32</v>
      </c>
      <c r="C54" s="50" t="s">
        <v>172</v>
      </c>
      <c r="D54" s="13" t="s">
        <v>10</v>
      </c>
      <c r="E54" s="14">
        <f>M54*10^(-3)*I54</f>
        <v>17.9604</v>
      </c>
      <c r="F54" s="14">
        <f>O54*10^(-3)*K54</f>
        <v>13.521600000000001</v>
      </c>
      <c r="G54" s="15">
        <f>SQRT(E54^2+F54^2)</f>
        <v>22.481317459615219</v>
      </c>
      <c r="H54" s="16">
        <f>IF(E54=0,"",SQRT((36^2)+(24^2))/SQRT((E54^2)+(F54^2)))</f>
        <v>1.9245587089498093</v>
      </c>
      <c r="I54" s="17">
        <v>3326</v>
      </c>
      <c r="J54" s="18" t="s">
        <v>19</v>
      </c>
      <c r="K54" s="19">
        <v>2504</v>
      </c>
      <c r="L54" s="20">
        <f>IF(H54=0,"",I54*K54/10^6)</f>
        <v>8.3283039999999993</v>
      </c>
      <c r="M54" s="21">
        <v>5.4</v>
      </c>
      <c r="N54" s="22" t="s">
        <v>19</v>
      </c>
      <c r="O54" s="23">
        <v>5.4</v>
      </c>
      <c r="P54" s="177"/>
      <c r="Q54" s="6"/>
      <c r="R54" s="178"/>
      <c r="S54" s="4"/>
      <c r="T54" s="5"/>
      <c r="U54" s="27" t="s">
        <v>173</v>
      </c>
      <c r="V54" s="170"/>
    </row>
    <row r="55" spans="2:22" ht="15" x14ac:dyDescent="0.2">
      <c r="B55" s="8" t="s">
        <v>23</v>
      </c>
      <c r="C55" s="12" t="s">
        <v>24</v>
      </c>
      <c r="D55" s="13" t="s">
        <v>10</v>
      </c>
      <c r="E55" s="14">
        <f t="shared" si="7"/>
        <v>22.705920000000003</v>
      </c>
      <c r="F55" s="14">
        <f t="shared" si="8"/>
        <v>15.10224</v>
      </c>
      <c r="G55" s="15">
        <f t="shared" si="0"/>
        <v>27.269698496023022</v>
      </c>
      <c r="H55" s="16">
        <f t="shared" si="1"/>
        <v>1.5866187633822877</v>
      </c>
      <c r="I55" s="17">
        <v>2592</v>
      </c>
      <c r="J55" s="18" t="s">
        <v>19</v>
      </c>
      <c r="K55" s="19">
        <v>1724</v>
      </c>
      <c r="L55" s="20">
        <f t="shared" si="2"/>
        <v>4.4686079999999997</v>
      </c>
      <c r="M55" s="21">
        <v>8.76</v>
      </c>
      <c r="N55" s="22" t="s">
        <v>19</v>
      </c>
      <c r="O55" s="23">
        <f>M55</f>
        <v>8.76</v>
      </c>
      <c r="P55" s="177">
        <f t="shared" si="9"/>
        <v>2592</v>
      </c>
      <c r="Q55" s="6" t="s">
        <v>19</v>
      </c>
      <c r="R55" s="178">
        <f t="shared" si="10"/>
        <v>1724</v>
      </c>
      <c r="S55" s="4">
        <f t="shared" si="11"/>
        <v>0</v>
      </c>
      <c r="T55" s="5">
        <f t="shared" si="12"/>
        <v>0</v>
      </c>
      <c r="U55" s="27"/>
      <c r="V55" s="170"/>
    </row>
    <row r="56" spans="2:22" ht="15" x14ac:dyDescent="0.2">
      <c r="B56" s="7" t="s">
        <v>36</v>
      </c>
      <c r="C56" s="12" t="s">
        <v>52</v>
      </c>
      <c r="D56" s="13" t="s">
        <v>10</v>
      </c>
      <c r="E56" s="14">
        <f t="shared" si="7"/>
        <v>6.2975999999999992</v>
      </c>
      <c r="F56" s="14">
        <f t="shared" si="8"/>
        <v>4.7628000000000004</v>
      </c>
      <c r="G56" s="15">
        <f t="shared" si="0"/>
        <v>7.8958235542595556</v>
      </c>
      <c r="H56" s="16">
        <f t="shared" si="1"/>
        <v>5.479683659119619</v>
      </c>
      <c r="I56" s="17">
        <v>768</v>
      </c>
      <c r="J56" s="18" t="s">
        <v>19</v>
      </c>
      <c r="K56" s="19">
        <v>567</v>
      </c>
      <c r="L56" s="20">
        <f t="shared" si="2"/>
        <v>0.43545600000000001</v>
      </c>
      <c r="M56" s="21">
        <v>8.1999999999999993</v>
      </c>
      <c r="N56" s="22" t="s">
        <v>19</v>
      </c>
      <c r="O56" s="23">
        <v>8.4</v>
      </c>
      <c r="P56" s="177">
        <f t="shared" si="9"/>
        <v>768</v>
      </c>
      <c r="Q56" s="6" t="s">
        <v>19</v>
      </c>
      <c r="R56" s="178">
        <f t="shared" si="10"/>
        <v>567</v>
      </c>
      <c r="S56" s="4">
        <f t="shared" si="11"/>
        <v>0</v>
      </c>
      <c r="T56" s="5">
        <f t="shared" si="12"/>
        <v>0</v>
      </c>
      <c r="U56" s="27" t="s">
        <v>139</v>
      </c>
      <c r="V56" s="170"/>
    </row>
    <row r="57" spans="2:22" ht="15" x14ac:dyDescent="0.2">
      <c r="B57" s="7" t="s">
        <v>36</v>
      </c>
      <c r="C57" s="12" t="s">
        <v>35</v>
      </c>
      <c r="D57" s="13" t="s">
        <v>10</v>
      </c>
      <c r="E57" s="14">
        <f t="shared" si="7"/>
        <v>7.2290400000000012</v>
      </c>
      <c r="F57" s="14">
        <f t="shared" si="8"/>
        <v>5.3695200000000005</v>
      </c>
      <c r="G57" s="15">
        <f t="shared" si="0"/>
        <v>9.0050410522107018</v>
      </c>
      <c r="H57" s="16">
        <f t="shared" si="1"/>
        <v>4.8047105010083317</v>
      </c>
      <c r="I57" s="17">
        <v>2317</v>
      </c>
      <c r="J57" s="18" t="s">
        <v>19</v>
      </c>
      <c r="K57" s="19">
        <v>1721</v>
      </c>
      <c r="L57" s="20">
        <f t="shared" si="2"/>
        <v>3.9875569999999998</v>
      </c>
      <c r="M57" s="21">
        <v>3.12</v>
      </c>
      <c r="N57" s="22" t="s">
        <v>19</v>
      </c>
      <c r="O57" s="23">
        <v>3.12</v>
      </c>
      <c r="P57" s="177">
        <f t="shared" si="9"/>
        <v>2317</v>
      </c>
      <c r="Q57" s="6" t="s">
        <v>19</v>
      </c>
      <c r="R57" s="178">
        <f t="shared" si="10"/>
        <v>1721</v>
      </c>
      <c r="S57" s="4">
        <f t="shared" si="11"/>
        <v>0</v>
      </c>
      <c r="T57" s="5">
        <f t="shared" si="12"/>
        <v>0</v>
      </c>
      <c r="U57" s="27" t="s">
        <v>140</v>
      </c>
      <c r="V57" s="434"/>
    </row>
    <row r="58" spans="2:22" ht="15" x14ac:dyDescent="0.2">
      <c r="B58" s="7" t="s">
        <v>36</v>
      </c>
      <c r="C58" s="12" t="s">
        <v>50</v>
      </c>
      <c r="D58" s="13" t="s">
        <v>10</v>
      </c>
      <c r="E58" s="14">
        <f t="shared" si="7"/>
        <v>8.9977499999999999</v>
      </c>
      <c r="F58" s="14">
        <f t="shared" si="8"/>
        <v>6.7015500000000001</v>
      </c>
      <c r="G58" s="15">
        <f t="shared" si="0"/>
        <v>11.219192371334044</v>
      </c>
      <c r="H58" s="16">
        <f t="shared" si="1"/>
        <v>3.8564821667660878</v>
      </c>
      <c r="I58" s="17">
        <v>1395</v>
      </c>
      <c r="J58" s="18" t="s">
        <v>19</v>
      </c>
      <c r="K58" s="19">
        <v>1039</v>
      </c>
      <c r="L58" s="20">
        <f t="shared" si="2"/>
        <v>1.4494050000000001</v>
      </c>
      <c r="M58" s="21">
        <v>6.45</v>
      </c>
      <c r="N58" s="22" t="s">
        <v>19</v>
      </c>
      <c r="O58" s="23">
        <v>6.45</v>
      </c>
      <c r="P58" s="177">
        <f t="shared" si="9"/>
        <v>1395</v>
      </c>
      <c r="Q58" s="6" t="s">
        <v>19</v>
      </c>
      <c r="R58" s="178">
        <f t="shared" si="10"/>
        <v>1039</v>
      </c>
      <c r="S58" s="4">
        <f t="shared" si="11"/>
        <v>0</v>
      </c>
      <c r="T58" s="5">
        <f t="shared" si="12"/>
        <v>0</v>
      </c>
      <c r="U58" s="27" t="s">
        <v>122</v>
      </c>
      <c r="V58" s="170"/>
    </row>
    <row r="59" spans="2:22" ht="15" x14ac:dyDescent="0.2">
      <c r="B59" s="7" t="s">
        <v>36</v>
      </c>
      <c r="C59" s="26" t="s">
        <v>128</v>
      </c>
      <c r="D59" s="13" t="s">
        <v>10</v>
      </c>
      <c r="E59" s="14">
        <f t="shared" si="7"/>
        <v>17.9604</v>
      </c>
      <c r="F59" s="14">
        <f t="shared" si="8"/>
        <v>13.521600000000001</v>
      </c>
      <c r="G59" s="15">
        <f t="shared" si="0"/>
        <v>22.481317459615219</v>
      </c>
      <c r="H59" s="16">
        <f t="shared" si="1"/>
        <v>1.9245587089498093</v>
      </c>
      <c r="I59" s="17">
        <v>3326</v>
      </c>
      <c r="J59" s="18" t="s">
        <v>19</v>
      </c>
      <c r="K59" s="19">
        <v>2504</v>
      </c>
      <c r="L59" s="20">
        <f t="shared" si="2"/>
        <v>8.3283039999999993</v>
      </c>
      <c r="M59" s="21">
        <v>5.4</v>
      </c>
      <c r="N59" s="22" t="s">
        <v>19</v>
      </c>
      <c r="O59" s="23">
        <v>5.4</v>
      </c>
      <c r="P59" s="177"/>
      <c r="Q59" s="6"/>
      <c r="R59" s="178"/>
      <c r="S59" s="4"/>
      <c r="T59" s="5"/>
      <c r="U59" s="27" t="s">
        <v>141</v>
      </c>
      <c r="V59" s="170"/>
    </row>
    <row r="60" spans="2:22" ht="15" x14ac:dyDescent="0.2">
      <c r="B60" s="7" t="s">
        <v>36</v>
      </c>
      <c r="C60" s="12" t="s">
        <v>31</v>
      </c>
      <c r="D60" s="13" t="s">
        <v>10</v>
      </c>
      <c r="E60" s="14">
        <f t="shared" si="7"/>
        <v>23.587199999999999</v>
      </c>
      <c r="F60" s="14">
        <f t="shared" si="8"/>
        <v>15.7248</v>
      </c>
      <c r="G60" s="15">
        <f t="shared" si="0"/>
        <v>28.34828634820807</v>
      </c>
      <c r="H60" s="16">
        <f t="shared" si="1"/>
        <v>1.5262515262515264</v>
      </c>
      <c r="I60" s="17">
        <v>3024</v>
      </c>
      <c r="J60" s="18" t="s">
        <v>19</v>
      </c>
      <c r="K60" s="19">
        <v>2016</v>
      </c>
      <c r="L60" s="20">
        <f t="shared" si="2"/>
        <v>6.0963839999999996</v>
      </c>
      <c r="M60" s="21">
        <v>7.8</v>
      </c>
      <c r="N60" s="22" t="s">
        <v>19</v>
      </c>
      <c r="O60" s="23">
        <v>7.8</v>
      </c>
      <c r="P60" s="177">
        <f>E60/(M60*10^(-3))</f>
        <v>3024</v>
      </c>
      <c r="Q60" s="6" t="s">
        <v>19</v>
      </c>
      <c r="R60" s="178">
        <f>F60/(O60*10^(-3))</f>
        <v>2016</v>
      </c>
      <c r="S60" s="4">
        <f>P60-I60</f>
        <v>0</v>
      </c>
      <c r="T60" s="5">
        <f>R60-K60</f>
        <v>0</v>
      </c>
      <c r="U60" s="27" t="s">
        <v>142</v>
      </c>
      <c r="V60" s="170"/>
    </row>
    <row r="61" spans="2:22" ht="15" x14ac:dyDescent="0.2">
      <c r="B61" s="7" t="s">
        <v>36</v>
      </c>
      <c r="C61" s="12" t="s">
        <v>125</v>
      </c>
      <c r="D61" s="13" t="s">
        <v>10</v>
      </c>
      <c r="E61" s="14">
        <f t="shared" si="7"/>
        <v>23.587199999999999</v>
      </c>
      <c r="F61" s="14">
        <f t="shared" si="8"/>
        <v>15.7248</v>
      </c>
      <c r="G61" s="15">
        <f t="shared" si="0"/>
        <v>28.34828634820807</v>
      </c>
      <c r="H61" s="16">
        <f t="shared" si="1"/>
        <v>1.5262515262515264</v>
      </c>
      <c r="I61" s="17">
        <v>3024</v>
      </c>
      <c r="J61" s="18" t="s">
        <v>19</v>
      </c>
      <c r="K61" s="19">
        <v>2016</v>
      </c>
      <c r="L61" s="20">
        <f t="shared" si="2"/>
        <v>6.0963839999999996</v>
      </c>
      <c r="M61" s="21">
        <v>7.8</v>
      </c>
      <c r="N61" s="22" t="s">
        <v>19</v>
      </c>
      <c r="O61" s="23">
        <v>7.8</v>
      </c>
      <c r="P61" s="177"/>
      <c r="Q61" s="6"/>
      <c r="R61" s="178"/>
      <c r="S61" s="4"/>
      <c r="T61" s="5"/>
      <c r="U61" s="27" t="s">
        <v>143</v>
      </c>
      <c r="V61" s="170"/>
    </row>
    <row r="62" spans="2:22" ht="15" x14ac:dyDescent="0.2">
      <c r="B62" s="7" t="s">
        <v>130</v>
      </c>
      <c r="C62" s="26" t="s">
        <v>53</v>
      </c>
      <c r="D62" s="13" t="s">
        <v>11</v>
      </c>
      <c r="E62" s="14">
        <f t="shared" si="7"/>
        <v>3.5840000000000001</v>
      </c>
      <c r="F62" s="14">
        <f t="shared" si="8"/>
        <v>2.6880000000000002</v>
      </c>
      <c r="G62" s="15">
        <f t="shared" si="0"/>
        <v>4.4800000000000004</v>
      </c>
      <c r="H62" s="16">
        <f t="shared" si="1"/>
        <v>9.6577266307071135</v>
      </c>
      <c r="I62" s="17">
        <v>640</v>
      </c>
      <c r="J62" s="18" t="s">
        <v>19</v>
      </c>
      <c r="K62" s="19">
        <v>480</v>
      </c>
      <c r="L62" s="20">
        <f t="shared" si="2"/>
        <v>0.30719999999999997</v>
      </c>
      <c r="M62" s="21">
        <v>5.6</v>
      </c>
      <c r="N62" s="22" t="s">
        <v>19</v>
      </c>
      <c r="O62" s="23">
        <v>5.6</v>
      </c>
      <c r="P62" s="177">
        <f>E62/(M62*10^(-3))</f>
        <v>640</v>
      </c>
      <c r="Q62" s="6" t="s">
        <v>19</v>
      </c>
      <c r="R62" s="178">
        <f>F62/(O62*10^(-3))</f>
        <v>480.00000000000006</v>
      </c>
      <c r="S62" s="4">
        <f>P62-I62</f>
        <v>0</v>
      </c>
      <c r="T62" s="5">
        <f>R62-K62</f>
        <v>0</v>
      </c>
      <c r="U62" s="27" t="s">
        <v>133</v>
      </c>
      <c r="V62" s="170"/>
    </row>
    <row r="63" spans="2:22" ht="15" x14ac:dyDescent="0.2">
      <c r="B63" s="7" t="s">
        <v>130</v>
      </c>
      <c r="C63" s="26" t="s">
        <v>126</v>
      </c>
      <c r="D63" s="13" t="s">
        <v>11</v>
      </c>
      <c r="E63" s="14">
        <f t="shared" si="7"/>
        <v>3.5840000000000001</v>
      </c>
      <c r="F63" s="14">
        <f t="shared" si="8"/>
        <v>2.6880000000000002</v>
      </c>
      <c r="G63" s="15">
        <f t="shared" si="0"/>
        <v>4.4800000000000004</v>
      </c>
      <c r="H63" s="16">
        <f t="shared" si="1"/>
        <v>9.6577266307071135</v>
      </c>
      <c r="I63" s="17">
        <v>640</v>
      </c>
      <c r="J63" s="18" t="s">
        <v>19</v>
      </c>
      <c r="K63" s="19">
        <v>480</v>
      </c>
      <c r="L63" s="20">
        <f t="shared" si="2"/>
        <v>0.30719999999999997</v>
      </c>
      <c r="M63" s="21">
        <v>5.6</v>
      </c>
      <c r="N63" s="22" t="s">
        <v>19</v>
      </c>
      <c r="O63" s="23">
        <v>5.6</v>
      </c>
      <c r="P63" s="177"/>
      <c r="Q63" s="6"/>
      <c r="R63" s="178"/>
      <c r="S63" s="4"/>
      <c r="T63" s="5"/>
      <c r="U63" s="27" t="s">
        <v>144</v>
      </c>
      <c r="V63" s="170"/>
    </row>
    <row r="64" spans="2:22" ht="15" x14ac:dyDescent="0.2">
      <c r="B64" s="7" t="s">
        <v>130</v>
      </c>
      <c r="C64" s="26" t="s">
        <v>129</v>
      </c>
      <c r="D64" s="13" t="s">
        <v>11</v>
      </c>
      <c r="E64" s="14">
        <f t="shared" si="7"/>
        <v>3.5840000000000001</v>
      </c>
      <c r="F64" s="14">
        <f t="shared" si="8"/>
        <v>2.6880000000000002</v>
      </c>
      <c r="G64" s="15">
        <f t="shared" si="0"/>
        <v>4.4800000000000004</v>
      </c>
      <c r="H64" s="16">
        <f t="shared" si="1"/>
        <v>9.6577266307071135</v>
      </c>
      <c r="I64" s="17">
        <v>640</v>
      </c>
      <c r="J64" s="18" t="s">
        <v>19</v>
      </c>
      <c r="K64" s="19">
        <v>480</v>
      </c>
      <c r="L64" s="20">
        <f t="shared" si="2"/>
        <v>0.30719999999999997</v>
      </c>
      <c r="M64" s="21">
        <v>5.6</v>
      </c>
      <c r="N64" s="22" t="s">
        <v>19</v>
      </c>
      <c r="O64" s="23">
        <v>5.6</v>
      </c>
      <c r="P64" s="177"/>
      <c r="Q64" s="6"/>
      <c r="R64" s="178"/>
      <c r="S64" s="4"/>
      <c r="T64" s="5"/>
      <c r="U64" s="47" t="s">
        <v>145</v>
      </c>
      <c r="V64" s="170"/>
    </row>
    <row r="65" spans="2:22" ht="15" x14ac:dyDescent="0.2">
      <c r="B65" s="7" t="s">
        <v>130</v>
      </c>
      <c r="C65" s="172" t="s">
        <v>146</v>
      </c>
      <c r="D65" s="13" t="s">
        <v>11</v>
      </c>
      <c r="E65" s="14">
        <f t="shared" si="7"/>
        <v>4.7616000000000005</v>
      </c>
      <c r="F65" s="14">
        <f t="shared" si="8"/>
        <v>3.5712000000000002</v>
      </c>
      <c r="G65" s="15">
        <f t="shared" ref="G65:G67" si="13">SQRT(E65^2+F65^2)</f>
        <v>5.9520000000000008</v>
      </c>
      <c r="H65" s="16">
        <f t="shared" ref="H65:H67" si="14">IF(E65=0,"",SQRT((36^2)+(24^2))/SQRT((E65^2)+(F65^2)))</f>
        <v>7.2692566037580422</v>
      </c>
      <c r="I65" s="17">
        <v>1024</v>
      </c>
      <c r="J65" s="18" t="s">
        <v>19</v>
      </c>
      <c r="K65" s="19">
        <v>768</v>
      </c>
      <c r="L65" s="20">
        <f t="shared" ref="L65:L67" si="15">IF(H65=0,"",I65*K65/10^6)</f>
        <v>0.78643200000000002</v>
      </c>
      <c r="M65" s="21">
        <v>4.6500000000000004</v>
      </c>
      <c r="N65" s="22" t="s">
        <v>19</v>
      </c>
      <c r="O65" s="23">
        <v>4.6500000000000004</v>
      </c>
      <c r="P65" s="177"/>
      <c r="Q65" s="6"/>
      <c r="R65" s="178"/>
      <c r="S65" s="4"/>
      <c r="T65" s="5"/>
      <c r="U65" s="172" t="s">
        <v>147</v>
      </c>
      <c r="V65" s="173" t="s">
        <v>148</v>
      </c>
    </row>
    <row r="66" spans="2:22" ht="15" x14ac:dyDescent="0.2">
      <c r="B66" s="7" t="s">
        <v>130</v>
      </c>
      <c r="C66" s="172" t="s">
        <v>154</v>
      </c>
      <c r="D66" s="13" t="s">
        <v>11</v>
      </c>
      <c r="E66" s="14">
        <f t="shared" ref="E66:E67" si="16">M66*10^(-3)*I66</f>
        <v>5.9520000000000008</v>
      </c>
      <c r="F66" s="14">
        <f t="shared" ref="F66:F67" si="17">O66*10^(-3)*K66</f>
        <v>4.4640000000000004</v>
      </c>
      <c r="G66" s="15">
        <f t="shared" si="13"/>
        <v>7.4400000000000013</v>
      </c>
      <c r="H66" s="16">
        <f t="shared" si="14"/>
        <v>5.8154052830064336</v>
      </c>
      <c r="I66" s="17">
        <v>1280</v>
      </c>
      <c r="J66" s="18" t="s">
        <v>19</v>
      </c>
      <c r="K66" s="19">
        <v>960</v>
      </c>
      <c r="L66" s="20">
        <f t="shared" si="15"/>
        <v>1.2287999999999999</v>
      </c>
      <c r="M66" s="21">
        <v>4.6500000000000004</v>
      </c>
      <c r="N66" s="22" t="s">
        <v>19</v>
      </c>
      <c r="O66" s="23">
        <v>4.6500000000000004</v>
      </c>
      <c r="P66" s="177"/>
      <c r="Q66" s="6"/>
      <c r="R66" s="178"/>
      <c r="S66" s="4"/>
      <c r="T66" s="5"/>
      <c r="U66" s="172" t="s">
        <v>155</v>
      </c>
      <c r="V66" s="173" t="s">
        <v>148</v>
      </c>
    </row>
    <row r="67" spans="2:22" ht="15" x14ac:dyDescent="0.2">
      <c r="B67" s="7" t="s">
        <v>74</v>
      </c>
      <c r="C67" s="12" t="s">
        <v>75</v>
      </c>
      <c r="D67" s="13" t="s">
        <v>10</v>
      </c>
      <c r="E67" s="14">
        <f t="shared" si="16"/>
        <v>6.4672000000000001</v>
      </c>
      <c r="F67" s="14">
        <f t="shared" si="17"/>
        <v>4.8306000000000004</v>
      </c>
      <c r="G67" s="15">
        <f t="shared" si="13"/>
        <v>8.0721355414784757</v>
      </c>
      <c r="H67" s="16">
        <f t="shared" si="14"/>
        <v>5.3599961352536027</v>
      </c>
      <c r="I67" s="17">
        <v>752</v>
      </c>
      <c r="J67" s="18" t="s">
        <v>19</v>
      </c>
      <c r="K67" s="19">
        <v>582</v>
      </c>
      <c r="L67" s="20">
        <f t="shared" si="15"/>
        <v>0.437664</v>
      </c>
      <c r="M67" s="21">
        <v>8.6</v>
      </c>
      <c r="N67" s="22" t="s">
        <v>19</v>
      </c>
      <c r="O67" s="23">
        <v>8.3000000000000007</v>
      </c>
      <c r="P67" s="177">
        <f t="shared" ref="P67" si="18">E67/(M67*10^(-3))</f>
        <v>752</v>
      </c>
      <c r="Q67" s="6" t="s">
        <v>19</v>
      </c>
      <c r="R67" s="178">
        <f t="shared" ref="R67" si="19">F67/(O67*10^(-3))</f>
        <v>582</v>
      </c>
      <c r="S67" s="4">
        <f t="shared" ref="S67" si="20">P67-I67</f>
        <v>0</v>
      </c>
      <c r="T67" s="5">
        <f t="shared" ref="T67" si="21">R67-K67</f>
        <v>0</v>
      </c>
      <c r="U67" s="27"/>
      <c r="V67" s="170"/>
    </row>
    <row r="68" spans="2:22" ht="15" x14ac:dyDescent="0.2">
      <c r="B68" s="7" t="s">
        <v>179</v>
      </c>
      <c r="C68" s="412" t="s">
        <v>282</v>
      </c>
      <c r="D68" s="13" t="s">
        <v>11</v>
      </c>
      <c r="E68" s="14">
        <f t="shared" ref="E68:E73" si="22">M68*10^(-3)*I68</f>
        <v>4.8</v>
      </c>
      <c r="F68" s="14">
        <f t="shared" ref="F68:F73" si="23">O68*10^(-3)*K68</f>
        <v>3.5999999999999996</v>
      </c>
      <c r="G68" s="15">
        <f t="shared" ref="G68:G73" si="24">SQRT(E68^2+F68^2)</f>
        <v>6</v>
      </c>
      <c r="H68" s="16">
        <f t="shared" ref="H68:H73" si="25">IF(E68=0,"",SQRT((36^2)+(24^2))/SQRT((E68^2)+(F68^2)))</f>
        <v>7.2111025509279791</v>
      </c>
      <c r="I68" s="17">
        <v>1280</v>
      </c>
      <c r="J68" s="18" t="s">
        <v>19</v>
      </c>
      <c r="K68" s="19">
        <v>960</v>
      </c>
      <c r="L68" s="20">
        <f t="shared" ref="L68:L73" si="26">IF(H68=0,"",I68*K68/10^6)</f>
        <v>1.2287999999999999</v>
      </c>
      <c r="M68" s="21">
        <v>3.75</v>
      </c>
      <c r="N68" s="22" t="s">
        <v>19</v>
      </c>
      <c r="O68" s="23">
        <v>3.75</v>
      </c>
      <c r="P68" s="177">
        <f t="shared" ref="P68:P73" si="27">E68/(M68*10^(-3))</f>
        <v>1280</v>
      </c>
      <c r="Q68" s="6" t="s">
        <v>19</v>
      </c>
      <c r="R68" s="178">
        <f t="shared" ref="R68:R73" si="28">F68/(O68*10^(-3))</f>
        <v>959.99999999999989</v>
      </c>
      <c r="S68" s="4">
        <f t="shared" ref="S68:S73" si="29">P68-I68</f>
        <v>0</v>
      </c>
      <c r="T68" s="5">
        <f t="shared" ref="T68:T73" si="30">R68-K68</f>
        <v>0</v>
      </c>
      <c r="U68" s="27" t="s">
        <v>180</v>
      </c>
      <c r="V68" s="170" t="s">
        <v>148</v>
      </c>
    </row>
    <row r="69" spans="2:22" ht="15" x14ac:dyDescent="0.2">
      <c r="B69" s="7" t="s">
        <v>179</v>
      </c>
      <c r="C69" s="412" t="s">
        <v>222</v>
      </c>
      <c r="D69" s="13" t="s">
        <v>11</v>
      </c>
      <c r="E69" s="14">
        <f t="shared" si="22"/>
        <v>11.34496</v>
      </c>
      <c r="F69" s="14">
        <f t="shared" si="23"/>
        <v>7.1257600000000005</v>
      </c>
      <c r="G69" s="15">
        <f t="shared" si="24"/>
        <v>13.397185263300647</v>
      </c>
      <c r="H69" s="16">
        <f t="shared" si="25"/>
        <v>3.2295302673830708</v>
      </c>
      <c r="I69" s="17">
        <v>1936</v>
      </c>
      <c r="J69" s="18" t="s">
        <v>19</v>
      </c>
      <c r="K69" s="19">
        <v>1216</v>
      </c>
      <c r="L69" s="20">
        <f t="shared" si="26"/>
        <v>2.3541759999999998</v>
      </c>
      <c r="M69" s="21">
        <v>5.86</v>
      </c>
      <c r="N69" s="22" t="s">
        <v>19</v>
      </c>
      <c r="O69" s="23">
        <v>5.86</v>
      </c>
      <c r="P69" s="177">
        <f t="shared" si="27"/>
        <v>1935.9999999999998</v>
      </c>
      <c r="Q69" s="6" t="s">
        <v>19</v>
      </c>
      <c r="R69" s="178">
        <f t="shared" si="28"/>
        <v>1216</v>
      </c>
      <c r="S69" s="4">
        <f t="shared" si="29"/>
        <v>0</v>
      </c>
      <c r="T69" s="5">
        <f t="shared" si="30"/>
        <v>0</v>
      </c>
      <c r="U69" s="27" t="s">
        <v>223</v>
      </c>
      <c r="V69" s="170" t="s">
        <v>148</v>
      </c>
    </row>
    <row r="70" spans="2:22" ht="15" x14ac:dyDescent="0.2">
      <c r="B70" s="7" t="s">
        <v>179</v>
      </c>
      <c r="C70" s="412" t="s">
        <v>317</v>
      </c>
      <c r="D70" s="13" t="s">
        <v>11</v>
      </c>
      <c r="E70" s="14">
        <f t="shared" si="22"/>
        <v>7.4303999999999997</v>
      </c>
      <c r="F70" s="14">
        <f t="shared" si="23"/>
        <v>4.992</v>
      </c>
      <c r="G70" s="15">
        <f t="shared" si="24"/>
        <v>8.9515869073589407</v>
      </c>
      <c r="H70" s="16">
        <f t="shared" si="25"/>
        <v>4.8334016921624432</v>
      </c>
      <c r="I70" s="17">
        <v>3096</v>
      </c>
      <c r="J70" s="18" t="s">
        <v>19</v>
      </c>
      <c r="K70" s="19">
        <v>2080</v>
      </c>
      <c r="L70" s="20">
        <f t="shared" si="26"/>
        <v>6.4396800000000001</v>
      </c>
      <c r="M70" s="21">
        <v>2.4</v>
      </c>
      <c r="N70" s="22" t="s">
        <v>19</v>
      </c>
      <c r="O70" s="23">
        <v>2.4</v>
      </c>
      <c r="P70" s="177">
        <f t="shared" si="27"/>
        <v>3096</v>
      </c>
      <c r="Q70" s="6"/>
      <c r="R70" s="178">
        <f t="shared" si="28"/>
        <v>2080</v>
      </c>
      <c r="S70" s="4">
        <f t="shared" si="29"/>
        <v>0</v>
      </c>
      <c r="T70" s="5">
        <f t="shared" si="30"/>
        <v>0</v>
      </c>
      <c r="U70" s="27" t="s">
        <v>318</v>
      </c>
      <c r="V70" s="170" t="s">
        <v>193</v>
      </c>
    </row>
    <row r="71" spans="2:22" ht="15" x14ac:dyDescent="0.2">
      <c r="B71" s="7" t="s">
        <v>179</v>
      </c>
      <c r="C71" s="174" t="s">
        <v>224</v>
      </c>
      <c r="D71" s="13" t="s">
        <v>11</v>
      </c>
      <c r="E71" s="14">
        <f t="shared" si="22"/>
        <v>13.190399999999999</v>
      </c>
      <c r="F71" s="14">
        <f t="shared" si="23"/>
        <v>8.8127999999999993</v>
      </c>
      <c r="G71" s="15">
        <f t="shared" si="24"/>
        <v>15.863546135716312</v>
      </c>
      <c r="H71" s="16">
        <f t="shared" si="25"/>
        <v>2.7274239275009484</v>
      </c>
      <c r="I71" s="17">
        <v>5496</v>
      </c>
      <c r="J71" s="18" t="s">
        <v>19</v>
      </c>
      <c r="K71" s="19">
        <v>3672</v>
      </c>
      <c r="L71" s="20">
        <f t="shared" si="26"/>
        <v>20.181311999999998</v>
      </c>
      <c r="M71" s="21">
        <v>2.4</v>
      </c>
      <c r="N71" s="22" t="s">
        <v>19</v>
      </c>
      <c r="O71" s="23">
        <v>2.4</v>
      </c>
      <c r="P71" s="177">
        <f t="shared" si="27"/>
        <v>5496</v>
      </c>
      <c r="Q71" s="6" t="s">
        <v>19</v>
      </c>
      <c r="R71" s="178">
        <f t="shared" si="28"/>
        <v>3672</v>
      </c>
      <c r="S71" s="4">
        <f t="shared" si="29"/>
        <v>0</v>
      </c>
      <c r="T71" s="5">
        <f t="shared" si="30"/>
        <v>0</v>
      </c>
      <c r="U71" s="435" t="s">
        <v>225</v>
      </c>
      <c r="V71" s="173" t="s">
        <v>148</v>
      </c>
    </row>
    <row r="72" spans="2:22" ht="15" x14ac:dyDescent="0.2">
      <c r="B72" s="7" t="s">
        <v>179</v>
      </c>
      <c r="C72" s="174" t="s">
        <v>191</v>
      </c>
      <c r="D72" s="13" t="s">
        <v>11</v>
      </c>
      <c r="E72" s="14">
        <f t="shared" si="22"/>
        <v>4.8899999999999997</v>
      </c>
      <c r="F72" s="14">
        <f t="shared" si="23"/>
        <v>3.6599999999999997</v>
      </c>
      <c r="G72" s="15">
        <f t="shared" si="24"/>
        <v>6.1080029469541026</v>
      </c>
      <c r="H72" s="16">
        <f t="shared" si="25"/>
        <v>7.0835943730419739</v>
      </c>
      <c r="I72" s="17">
        <v>1304</v>
      </c>
      <c r="J72" s="18" t="s">
        <v>19</v>
      </c>
      <c r="K72" s="19">
        <v>976</v>
      </c>
      <c r="L72" s="20">
        <f t="shared" si="26"/>
        <v>1.2727040000000001</v>
      </c>
      <c r="M72" s="21">
        <v>3.75</v>
      </c>
      <c r="N72" s="22" t="s">
        <v>19</v>
      </c>
      <c r="O72" s="23">
        <v>3.75</v>
      </c>
      <c r="P72" s="177">
        <f t="shared" si="27"/>
        <v>1304</v>
      </c>
      <c r="Q72" s="6" t="s">
        <v>19</v>
      </c>
      <c r="R72" s="178">
        <f t="shared" si="28"/>
        <v>976</v>
      </c>
      <c r="S72" s="4">
        <f t="shared" si="29"/>
        <v>0</v>
      </c>
      <c r="T72" s="5">
        <f t="shared" si="30"/>
        <v>0</v>
      </c>
      <c r="U72" s="27" t="s">
        <v>192</v>
      </c>
      <c r="V72" s="170" t="s">
        <v>193</v>
      </c>
    </row>
    <row r="73" spans="2:22" ht="15" x14ac:dyDescent="0.2">
      <c r="B73" s="7"/>
      <c r="C73" s="174" t="s">
        <v>340</v>
      </c>
      <c r="D73" s="13" t="s">
        <v>11</v>
      </c>
      <c r="E73" s="14">
        <f t="shared" si="22"/>
        <v>5.6143999999999998</v>
      </c>
      <c r="F73" s="14">
        <f t="shared" si="23"/>
        <v>3.1783999999999999</v>
      </c>
      <c r="G73" s="15">
        <f t="shared" si="24"/>
        <v>6.4516442803366028</v>
      </c>
      <c r="H73" s="16">
        <f t="shared" si="25"/>
        <v>6.7062927566289376</v>
      </c>
      <c r="I73" s="17">
        <v>1936</v>
      </c>
      <c r="J73" s="18" t="s">
        <v>19</v>
      </c>
      <c r="K73" s="19">
        <v>1096</v>
      </c>
      <c r="L73" s="20">
        <f t="shared" si="26"/>
        <v>2.1218560000000002</v>
      </c>
      <c r="M73" s="21">
        <v>2.9</v>
      </c>
      <c r="N73" s="22" t="s">
        <v>19</v>
      </c>
      <c r="O73" s="23">
        <v>2.9</v>
      </c>
      <c r="P73" s="177">
        <f t="shared" si="27"/>
        <v>1936</v>
      </c>
      <c r="Q73" s="6"/>
      <c r="R73" s="178">
        <f t="shared" si="28"/>
        <v>1096</v>
      </c>
      <c r="S73" s="4">
        <f t="shared" si="29"/>
        <v>0</v>
      </c>
      <c r="T73" s="5">
        <f t="shared" si="30"/>
        <v>0</v>
      </c>
      <c r="U73" s="27"/>
      <c r="V73" s="170" t="s">
        <v>148</v>
      </c>
    </row>
    <row r="74" spans="2:22" ht="15" x14ac:dyDescent="0.2">
      <c r="B74" s="7" t="s">
        <v>179</v>
      </c>
      <c r="C74" s="174" t="s">
        <v>312</v>
      </c>
      <c r="D74" s="13" t="s">
        <v>11</v>
      </c>
      <c r="E74" s="14">
        <f t="shared" ref="E74" si="31">M74*10^(-3)*I74</f>
        <v>19.186719999999998</v>
      </c>
      <c r="F74" s="14">
        <f t="shared" ref="F74" si="32">O74*10^(-3)*K74</f>
        <v>13.065859999999999</v>
      </c>
      <c r="G74" s="15">
        <f t="shared" ref="G74" si="33">SQRT(E74^2+F74^2)</f>
        <v>23.213076528069259</v>
      </c>
      <c r="H74" s="16">
        <f t="shared" ref="H74" si="34">IF(E74=0,"",SQRT((36^2)+(24^2))/SQRT((E74^2)+(F74^2)))</f>
        <v>1.8638897456461607</v>
      </c>
      <c r="I74" s="17">
        <v>4144</v>
      </c>
      <c r="J74" s="18" t="s">
        <v>19</v>
      </c>
      <c r="K74" s="19">
        <v>2822</v>
      </c>
      <c r="L74" s="20">
        <f t="shared" ref="L74" si="35">IF(H74=0,"",I74*K74/10^6)</f>
        <v>11.694368000000001</v>
      </c>
      <c r="M74" s="21">
        <v>4.63</v>
      </c>
      <c r="N74" s="22" t="s">
        <v>19</v>
      </c>
      <c r="O74" s="23">
        <v>4.63</v>
      </c>
      <c r="P74" s="177"/>
      <c r="Q74" s="6"/>
      <c r="R74" s="178"/>
      <c r="S74" s="4"/>
      <c r="T74" s="5"/>
      <c r="U74" s="27"/>
      <c r="V74" s="170"/>
    </row>
    <row r="75" spans="2:22" ht="15.75" thickBot="1" x14ac:dyDescent="0.25">
      <c r="B75" s="31" t="s">
        <v>179</v>
      </c>
      <c r="C75" s="436" t="s">
        <v>337</v>
      </c>
      <c r="D75" s="32" t="s">
        <v>11</v>
      </c>
      <c r="E75" s="33">
        <f>M75*10^(-3)*I75</f>
        <v>5.6143999999999998</v>
      </c>
      <c r="F75" s="33">
        <f>O75*10^(-3)*K75</f>
        <v>3.1783999999999999</v>
      </c>
      <c r="G75" s="34">
        <f>SQRT(E75^2+F75^2)</f>
        <v>6.4516442803366028</v>
      </c>
      <c r="H75" s="35">
        <f>IF(E75=0,"",SQRT((36^2)+(24^2))/SQRT((E75^2)+(F75^2)))</f>
        <v>6.7062927566289376</v>
      </c>
      <c r="I75" s="36">
        <v>1936</v>
      </c>
      <c r="J75" s="37" t="s">
        <v>19</v>
      </c>
      <c r="K75" s="38">
        <v>1096</v>
      </c>
      <c r="L75" s="39">
        <f>IF(H75=0,"",I75*K75/10^6)</f>
        <v>2.1218560000000002</v>
      </c>
      <c r="M75" s="40">
        <v>2.9</v>
      </c>
      <c r="N75" s="41" t="s">
        <v>19</v>
      </c>
      <c r="O75" s="42">
        <v>2.9</v>
      </c>
      <c r="P75" s="179"/>
      <c r="Q75" s="43"/>
      <c r="R75" s="180"/>
      <c r="S75" s="44"/>
      <c r="T75" s="45"/>
      <c r="U75" s="46"/>
      <c r="V75" s="175" t="s">
        <v>193</v>
      </c>
    </row>
    <row r="76" spans="2:22" ht="15" thickTop="1" x14ac:dyDescent="0.2"/>
    <row r="84" spans="2:21" ht="15" x14ac:dyDescent="0.2">
      <c r="C84" s="181"/>
      <c r="U84" s="181"/>
    </row>
    <row r="85" spans="2:21" x14ac:dyDescent="0.2">
      <c r="B85" s="182">
        <f ca="1">TODAY()</f>
        <v>43784</v>
      </c>
    </row>
    <row r="95" spans="2:21" x14ac:dyDescent="0.2">
      <c r="C95" s="148" t="s">
        <v>308</v>
      </c>
    </row>
  </sheetData>
  <sheetProtection algorithmName="SHA-512" hashValue="8YXB8CNZdsiHvSMvkWQh3D0qWqq01LHfoGPRfDTElGBDjpsKbq0yw6hMRHdC3zBXZcwEsvIawru+xKT6kAgJtg==" saltValue="GQRXT8icgq67RbqEWNp4vw==" spinCount="100000" sheet="1" objects="1" scenarios="1"/>
  <mergeCells count="14">
    <mergeCell ref="V2:V3"/>
    <mergeCell ref="U4:U7"/>
    <mergeCell ref="B3:U3"/>
    <mergeCell ref="B2:U2"/>
    <mergeCell ref="B4:C4"/>
    <mergeCell ref="D4:O4"/>
    <mergeCell ref="C6:C7"/>
    <mergeCell ref="B6:B7"/>
    <mergeCell ref="D6:G6"/>
    <mergeCell ref="B5:C5"/>
    <mergeCell ref="D5:O5"/>
    <mergeCell ref="H6:H7"/>
    <mergeCell ref="M6:O7"/>
    <mergeCell ref="I6:L7"/>
  </mergeCells>
  <phoneticPr fontId="0" type="noConversion"/>
  <hyperlinks>
    <hyperlink ref="C47" r:id="rId1" xr:uid="{00000000-0004-0000-0200-000000000000}"/>
    <hyperlink ref="C39" r:id="rId2" xr:uid="{00000000-0004-0000-0200-000001000000}"/>
    <hyperlink ref="C13" r:id="rId3" xr:uid="{00000000-0004-0000-0200-000002000000}"/>
    <hyperlink ref="C27" r:id="rId4" xr:uid="{00000000-0004-0000-0200-000003000000}"/>
    <hyperlink ref="C40" r:id="rId5" xr:uid="{00000000-0004-0000-0200-000004000000}"/>
    <hyperlink ref="C28" r:id="rId6" xr:uid="{00000000-0004-0000-0200-000005000000}"/>
    <hyperlink ref="C50" r:id="rId7" display="ST8-XE" xr:uid="{00000000-0004-0000-0200-000006000000}"/>
    <hyperlink ref="C37" r:id="rId8" xr:uid="{00000000-0004-0000-0200-000007000000}"/>
    <hyperlink ref="C57" r:id="rId9" xr:uid="{00000000-0004-0000-0200-000008000000}"/>
    <hyperlink ref="C44" r:id="rId10" xr:uid="{00000000-0004-0000-0200-000009000000}"/>
    <hyperlink ref="C8" r:id="rId11" xr:uid="{00000000-0004-0000-0200-00000A000000}"/>
    <hyperlink ref="C9" r:id="rId12" xr:uid="{00000000-0004-0000-0200-00000B000000}"/>
    <hyperlink ref="C58" r:id="rId13" xr:uid="{00000000-0004-0000-0200-00000C000000}"/>
    <hyperlink ref="C11" r:id="rId14" display="ART-285C" xr:uid="{00000000-0004-0000-0200-00000D000000}"/>
    <hyperlink ref="C55" r:id="rId15" xr:uid="{00000000-0004-0000-0200-00000E000000}"/>
    <hyperlink ref="C62" r:id="rId16" xr:uid="{00000000-0004-0000-0200-00000F000000}"/>
    <hyperlink ref="C36" r:id="rId17" xr:uid="{00000000-0004-0000-0200-000010000000}"/>
    <hyperlink ref="C45" r:id="rId18" xr:uid="{00000000-0004-0000-0200-000011000000}"/>
    <hyperlink ref="C20" r:id="rId19" xr:uid="{00000000-0004-0000-0200-000012000000}"/>
    <hyperlink ref="C10" r:id="rId20" display="ART-285C" xr:uid="{00000000-0004-0000-0200-000013000000}"/>
    <hyperlink ref="C60" r:id="rId21" xr:uid="{00000000-0004-0000-0200-000014000000}"/>
    <hyperlink ref="C16" r:id="rId22" display="ATK-16HRC" xr:uid="{00000000-0004-0000-0200-000015000000}"/>
    <hyperlink ref="C42" r:id="rId23" xr:uid="{00000000-0004-0000-0200-000016000000}"/>
    <hyperlink ref="C38" r:id="rId24" xr:uid="{00000000-0004-0000-0200-000017000000}"/>
    <hyperlink ref="C15" r:id="rId25" display="ATK1CII" xr:uid="{00000000-0004-0000-0200-000018000000}"/>
    <hyperlink ref="C12" r:id="rId26" display="ART-4021" xr:uid="{00000000-0004-0000-0200-000019000000}"/>
    <hyperlink ref="C33" r:id="rId27" display="6.OC  -  QHY8" xr:uid="{00000000-0004-0000-0200-00001A000000}"/>
    <hyperlink ref="C49" r:id="rId28" xr:uid="{00000000-0004-0000-0200-00001B000000}"/>
    <hyperlink ref="C43" r:id="rId29" xr:uid="{00000000-0004-0000-0200-00001C000000}"/>
    <hyperlink ref="C29" r:id="rId30" xr:uid="{00000000-0004-0000-0200-00001D000000}"/>
    <hyperlink ref="D5:O5" r:id="rId31" display="http://www.kodak.com/global/en/business/ISS/Products/Fullframe/" xr:uid="{00000000-0004-0000-0200-00001E000000}"/>
    <hyperlink ref="C23" r:id="rId32" location="pix-review" xr:uid="{00000000-0004-0000-0200-00001F000000}"/>
    <hyperlink ref="C30" r:id="rId33" xr:uid="{00000000-0004-0000-0200-000020000000}"/>
    <hyperlink ref="C34" r:id="rId34" xr:uid="{00000000-0004-0000-0200-000021000000}"/>
    <hyperlink ref="U42" r:id="rId35" display="KAF-8300CE" xr:uid="{00000000-0004-0000-0200-000022000000}"/>
    <hyperlink ref="C17" r:id="rId36" display="ATK 383L" xr:uid="{00000000-0004-0000-0200-000023000000}"/>
    <hyperlink ref="C35" r:id="rId37" xr:uid="{00000000-0004-0000-0200-000024000000}"/>
    <hyperlink ref="C14" r:id="rId38" location="1HS" xr:uid="{00000000-0004-0000-0200-000025000000}"/>
    <hyperlink ref="C61" r:id="rId39" xr:uid="{00000000-0004-0000-0200-000026000000}"/>
    <hyperlink ref="C63" r:id="rId40" xr:uid="{00000000-0004-0000-0200-000027000000}"/>
    <hyperlink ref="C59" r:id="rId41" xr:uid="{00000000-0004-0000-0200-000028000000}"/>
    <hyperlink ref="C64" r:id="rId42" xr:uid="{00000000-0004-0000-0200-000029000000}"/>
    <hyperlink ref="U64" r:id="rId43" display="ICX-618ALA" xr:uid="{00000000-0004-0000-0200-00002A000000}"/>
    <hyperlink ref="U13" r:id="rId44" xr:uid="{00000000-0004-0000-0200-00002B000000}"/>
    <hyperlink ref="C65" r:id="rId45" xr:uid="{00000000-0004-0000-0200-00002C000000}"/>
    <hyperlink ref="U65" r:id="rId46" xr:uid="{00000000-0004-0000-0200-00002D000000}"/>
    <hyperlink ref="C48" r:id="rId47" xr:uid="{00000000-0004-0000-0200-00002E000000}"/>
    <hyperlink ref="C66" r:id="rId48" xr:uid="{00000000-0004-0000-0200-00002F000000}"/>
    <hyperlink ref="U66" r:id="rId49" xr:uid="{00000000-0004-0000-0200-000030000000}"/>
    <hyperlink ref="C31" r:id="rId50" xr:uid="{00000000-0004-0000-0200-000031000000}"/>
    <hyperlink ref="C67" r:id="rId51" xr:uid="{00000000-0004-0000-0200-000032000000}"/>
    <hyperlink ref="C51" r:id="rId52" xr:uid="{00000000-0004-0000-0200-000033000000}"/>
    <hyperlink ref="C26" r:id="rId53" xr:uid="{00000000-0004-0000-0200-000034000000}"/>
    <hyperlink ref="C72" r:id="rId54" xr:uid="{00000000-0004-0000-0200-000035000000}"/>
    <hyperlink ref="C32" r:id="rId55" xr:uid="{00000000-0004-0000-0200-000036000000}"/>
    <hyperlink ref="C68" r:id="rId56" display="ASI120MM" xr:uid="{00000000-0004-0000-0200-000037000000}"/>
    <hyperlink ref="C69" r:id="rId57" xr:uid="{00000000-0004-0000-0200-000038000000}"/>
    <hyperlink ref="C71" r:id="rId58" xr:uid="{00000000-0004-0000-0200-000039000000}"/>
    <hyperlink ref="C22" r:id="rId59" xr:uid="{00000000-0004-0000-0200-00003A000000}"/>
    <hyperlink ref="C74" r:id="rId60" xr:uid="{00000000-0004-0000-0200-00003B000000}"/>
    <hyperlink ref="C70" r:id="rId61" xr:uid="{00000000-0004-0000-0200-00003C000000}"/>
    <hyperlink ref="C75" r:id="rId62" xr:uid="{00000000-0004-0000-0200-00003D000000}"/>
  </hyperlinks>
  <printOptions horizontalCentered="1"/>
  <pageMargins left="0.39370078740157483" right="0.39370078740157483" top="0.39370078740157483" bottom="0.39370078740157483" header="0" footer="0"/>
  <pageSetup paperSize="9" scale="56" fitToHeight="2" orientation="portrait" r:id="rId63"/>
  <headerFooter alignWithMargins="0"/>
  <drawing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TABLA_01</vt:lpstr>
      <vt:lpstr>CONFIG.</vt:lpstr>
      <vt:lpstr>Características CCD o DSLR</vt:lpstr>
      <vt:lpstr>CONFIG.!Área_de_impresión</vt:lpstr>
      <vt:lpstr>TABLA_01!Área_de_impresión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JMP</dc:creator>
  <cp:lastModifiedBy>José M Piña Martín</cp:lastModifiedBy>
  <cp:lastPrinted>2020-02-19T00:40:51Z</cp:lastPrinted>
  <dcterms:created xsi:type="dcterms:W3CDTF">2005-01-28T14:24:21Z</dcterms:created>
  <dcterms:modified xsi:type="dcterms:W3CDTF">2023-11-16T19:49:44Z</dcterms:modified>
</cp:coreProperties>
</file>