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ate1904="1" codeName="ThisWorkbook"/>
  <mc:AlternateContent xmlns:mc="http://schemas.openxmlformats.org/markup-compatibility/2006">
    <mc:Choice Requires="x15">
      <x15ac:absPath xmlns:x15ac="http://schemas.microsoft.com/office/spreadsheetml/2010/11/ac" url="C:\Users\Usuari\Desktop\"/>
    </mc:Choice>
  </mc:AlternateContent>
  <xr:revisionPtr revIDLastSave="0" documentId="8_{E1B0B3B3-781B-4870-A96A-6774D1D80001}" xr6:coauthVersionLast="47" xr6:coauthVersionMax="47" xr10:uidLastSave="{00000000-0000-0000-0000-000000000000}"/>
  <workbookProtection workbookAlgorithmName="SHA-512" workbookHashValue="DjA+aQFB8sNpX4LLaksHDpKX+RJ5ONxFbrJoD9c4Z8ZcO/xjkYEFdNoQp0Xj0YhsX36sp+91CR+6D6qtqnN3Bg==" workbookSaltValue="fhZZXbp/Ntb+FA8clMqx6g==" workbookSpinCount="100000" lockStructure="1"/>
  <bookViews>
    <workbookView xWindow="-120" yWindow="-120" windowWidth="25440" windowHeight="15990" tabRatio="613" xr2:uid="{00000000-000D-0000-FFFF-FFFF00000000}"/>
  </bookViews>
  <sheets>
    <sheet name="TABLA_01" sheetId="1" r:id="rId1"/>
    <sheet name="Hoja2" sheetId="6" state="hidden" r:id="rId2"/>
    <sheet name="Hoja1" sheetId="5" state="hidden" r:id="rId3"/>
    <sheet name="CONFIG." sheetId="4" r:id="rId4"/>
    <sheet name="Características CCD o DSLR" sheetId="2" r:id="rId5"/>
  </sheets>
  <definedNames>
    <definedName name="_xlnm.Print_Area" localSheetId="3">'CONFIG.'!$B$2:$Q$77</definedName>
    <definedName name="_xlnm.Print_Area" localSheetId="0">TABLA_01!$B$2:$Y$72</definedName>
  </definedNames>
  <calcPr calcId="191029"/>
  <webPublishing targetScreenSize="1024x768" dpi="120" codePage="125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57" i="1" l="1"/>
  <c r="E49" i="1"/>
  <c r="H19" i="1"/>
  <c r="W8" i="1"/>
  <c r="K72" i="4"/>
  <c r="G73" i="4"/>
  <c r="G74" i="4" s="1"/>
  <c r="F73" i="4"/>
  <c r="F74" i="4" s="1"/>
  <c r="F62" i="4"/>
  <c r="C46" i="1"/>
  <c r="W9" i="1"/>
  <c r="W7" i="1"/>
  <c r="I47" i="1" s="1"/>
  <c r="R7" i="1"/>
  <c r="P8" i="1"/>
  <c r="I44" i="4"/>
  <c r="I38" i="4"/>
  <c r="I7" i="1" l="1"/>
  <c r="K7" i="1" s="1"/>
  <c r="S59" i="1"/>
  <c r="X33" i="1"/>
  <c r="G30" i="1" l="1"/>
  <c r="G6" i="1"/>
  <c r="G14" i="1"/>
  <c r="I8" i="1"/>
  <c r="K8" i="1" l="1"/>
  <c r="G23" i="1"/>
  <c r="G24" i="1" s="1"/>
  <c r="G26" i="1" s="1"/>
  <c r="H57" i="1"/>
  <c r="K18" i="1"/>
  <c r="K19" i="1" s="1"/>
  <c r="L19" i="1" s="1"/>
  <c r="G41" i="1"/>
  <c r="K10" i="1"/>
  <c r="K20" i="1"/>
  <c r="G13" i="1" l="1"/>
  <c r="F24" i="4"/>
  <c r="G72" i="4" s="1"/>
  <c r="R9" i="1" l="1"/>
  <c r="E74" i="4"/>
  <c r="F44" i="4"/>
  <c r="E46" i="4" s="1"/>
  <c r="F38" i="4"/>
  <c r="E40" i="4" s="1"/>
  <c r="E39" i="4" s="1"/>
  <c r="F30" i="4"/>
  <c r="E32" i="4" s="1"/>
  <c r="E31" i="4" s="1"/>
  <c r="L30" i="4" s="1"/>
  <c r="E78" i="2"/>
  <c r="F78" i="2"/>
  <c r="E73" i="4" l="1"/>
  <c r="P9" i="1"/>
  <c r="E45" i="4"/>
  <c r="K30" i="4"/>
  <c r="H78" i="2"/>
  <c r="L78" i="2" s="1"/>
  <c r="G78" i="2"/>
  <c r="M55" i="1" l="1"/>
  <c r="K55" i="1"/>
  <c r="L57" i="1" s="1"/>
  <c r="L59" i="1"/>
  <c r="Q59" i="1" s="1"/>
  <c r="U64" i="1"/>
  <c r="G62" i="4"/>
  <c r="G65" i="4" s="1"/>
  <c r="F65" i="4"/>
  <c r="G25" i="1"/>
  <c r="R64" i="1"/>
  <c r="C41" i="1"/>
  <c r="C40" i="1"/>
  <c r="K22" i="1"/>
  <c r="J43" i="1"/>
  <c r="K21" i="1"/>
  <c r="E80" i="2"/>
  <c r="F80" i="2"/>
  <c r="R8" i="1"/>
  <c r="L55" i="1" l="1"/>
  <c r="K57" i="1" s="1"/>
  <c r="N55" i="1"/>
  <c r="M57" i="1" s="1"/>
  <c r="N57" i="1"/>
  <c r="F66" i="4"/>
  <c r="E65" i="4"/>
  <c r="W59" i="1"/>
  <c r="N47" i="1"/>
  <c r="N34" i="1"/>
  <c r="G80" i="2"/>
  <c r="H80" i="2"/>
  <c r="L80" i="2" s="1"/>
  <c r="E81" i="2" l="1"/>
  <c r="F81" i="2"/>
  <c r="I50" i="4"/>
  <c r="I56" i="4"/>
  <c r="H81" i="2" l="1"/>
  <c r="L81" i="2" s="1"/>
  <c r="G81" i="2"/>
  <c r="E77" i="2"/>
  <c r="F77" i="2"/>
  <c r="Z56" i="1"/>
  <c r="M33" i="1"/>
  <c r="E13" i="4"/>
  <c r="E79" i="4"/>
  <c r="H77" i="2" l="1"/>
  <c r="L77" i="2" s="1"/>
  <c r="G77" i="2"/>
  <c r="G40" i="1"/>
  <c r="L23" i="4"/>
  <c r="K23" i="4"/>
  <c r="E34" i="2" l="1"/>
  <c r="F34" i="2"/>
  <c r="K64" i="4"/>
  <c r="E33" i="2"/>
  <c r="F33" i="2"/>
  <c r="G66" i="4" l="1"/>
  <c r="H34" i="2"/>
  <c r="L34" i="2" s="1"/>
  <c r="H33" i="2"/>
  <c r="L33" i="2" s="1"/>
  <c r="G34" i="2"/>
  <c r="G33" i="2"/>
  <c r="N36" i="1"/>
  <c r="G64" i="4"/>
  <c r="F75" i="2" l="1"/>
  <c r="R75" i="2" s="1"/>
  <c r="T75" i="2" s="1"/>
  <c r="E75" i="2"/>
  <c r="P75" i="2" s="1"/>
  <c r="S75" i="2" s="1"/>
  <c r="F22" i="4"/>
  <c r="F50" i="4"/>
  <c r="F56" i="4"/>
  <c r="N53" i="1" s="1"/>
  <c r="E79" i="2"/>
  <c r="F79" i="2"/>
  <c r="E58" i="4" l="1"/>
  <c r="E57" i="4" s="1"/>
  <c r="M53" i="1"/>
  <c r="E52" i="4"/>
  <c r="H75" i="2"/>
  <c r="L75" i="2" s="1"/>
  <c r="G75" i="2"/>
  <c r="H79" i="2"/>
  <c r="L79" i="2" s="1"/>
  <c r="G79" i="2"/>
  <c r="K50" i="1" l="1"/>
  <c r="K49" i="1" s="1"/>
  <c r="E51" i="4"/>
  <c r="F72" i="2"/>
  <c r="E72" i="2"/>
  <c r="P72" i="2" s="1"/>
  <c r="S72" i="2" s="1"/>
  <c r="C50" i="1" l="1"/>
  <c r="M50" i="1" s="1"/>
  <c r="H72" i="2"/>
  <c r="L72" i="2" s="1"/>
  <c r="G72" i="2"/>
  <c r="R72" i="2"/>
  <c r="T72" i="2" s="1"/>
  <c r="H24" i="2"/>
  <c r="L24" i="2" s="1"/>
  <c r="G24" i="2"/>
  <c r="X62" i="1"/>
  <c r="E76" i="2"/>
  <c r="F76" i="2"/>
  <c r="E43" i="2"/>
  <c r="O43" i="2"/>
  <c r="F43" i="2" s="1"/>
  <c r="C49" i="1" l="1"/>
  <c r="H76" i="2"/>
  <c r="L76" i="2" s="1"/>
  <c r="G76" i="2"/>
  <c r="G22" i="2"/>
  <c r="H22" i="2"/>
  <c r="L22" i="2" s="1"/>
  <c r="H43" i="2"/>
  <c r="L43" i="2" s="1"/>
  <c r="G43" i="2"/>
  <c r="T64" i="1"/>
  <c r="H24" i="4" l="1"/>
  <c r="E73" i="2"/>
  <c r="P73" i="2" s="1"/>
  <c r="S73" i="2" s="1"/>
  <c r="F73" i="2"/>
  <c r="R73" i="2" s="1"/>
  <c r="T73" i="2" s="1"/>
  <c r="E71" i="2"/>
  <c r="P71" i="2" s="1"/>
  <c r="S71" i="2" s="1"/>
  <c r="F71" i="2"/>
  <c r="R71" i="2" s="1"/>
  <c r="T71" i="2" s="1"/>
  <c r="P62" i="1"/>
  <c r="E8" i="2"/>
  <c r="P8" i="2" s="1"/>
  <c r="S8" i="2" s="1"/>
  <c r="F8" i="2"/>
  <c r="R8" i="2" s="1"/>
  <c r="T8" i="2" s="1"/>
  <c r="E9" i="2"/>
  <c r="F9" i="2"/>
  <c r="R9" i="2" s="1"/>
  <c r="T9" i="2" s="1"/>
  <c r="E10" i="2"/>
  <c r="P10" i="2" s="1"/>
  <c r="S10" i="2" s="1"/>
  <c r="F10" i="2"/>
  <c r="E11" i="2"/>
  <c r="P11" i="2" s="1"/>
  <c r="S11" i="2" s="1"/>
  <c r="F11" i="2"/>
  <c r="R11" i="2" s="1"/>
  <c r="T11" i="2" s="1"/>
  <c r="E12" i="2"/>
  <c r="P12" i="2" s="1"/>
  <c r="S12" i="2" s="1"/>
  <c r="F12" i="2"/>
  <c r="R12" i="2" s="1"/>
  <c r="T12" i="2" s="1"/>
  <c r="E13" i="2"/>
  <c r="P13" i="2" s="1"/>
  <c r="S13" i="2" s="1"/>
  <c r="F13" i="2"/>
  <c r="R13" i="2" s="1"/>
  <c r="T13" i="2" s="1"/>
  <c r="E14" i="2"/>
  <c r="F14" i="2"/>
  <c r="E15" i="2"/>
  <c r="P15" i="2" s="1"/>
  <c r="S15" i="2" s="1"/>
  <c r="F15" i="2"/>
  <c r="R15" i="2" s="1"/>
  <c r="T15" i="2" s="1"/>
  <c r="E16" i="2"/>
  <c r="P16" i="2" s="1"/>
  <c r="S16" i="2" s="1"/>
  <c r="F16" i="2"/>
  <c r="R16" i="2" s="1"/>
  <c r="T16" i="2" s="1"/>
  <c r="E17" i="2"/>
  <c r="F17" i="2"/>
  <c r="E18" i="2"/>
  <c r="F18" i="2"/>
  <c r="E19" i="2"/>
  <c r="F19" i="2"/>
  <c r="R19" i="2" s="1"/>
  <c r="T19" i="2" s="1"/>
  <c r="E20" i="2"/>
  <c r="F20" i="2"/>
  <c r="R20" i="2" s="1"/>
  <c r="T20" i="2" s="1"/>
  <c r="E21" i="2"/>
  <c r="F21" i="2"/>
  <c r="E23" i="2"/>
  <c r="F23" i="2"/>
  <c r="Z23" i="2"/>
  <c r="E25" i="2"/>
  <c r="F25" i="2"/>
  <c r="G26" i="2"/>
  <c r="H26" i="2"/>
  <c r="I26" i="2"/>
  <c r="K26" i="2"/>
  <c r="E27" i="2"/>
  <c r="P27" i="2" s="1"/>
  <c r="S27" i="2" s="1"/>
  <c r="F27" i="2"/>
  <c r="R27" i="2" s="1"/>
  <c r="T27" i="2" s="1"/>
  <c r="E28" i="2"/>
  <c r="P28" i="2" s="1"/>
  <c r="S28" i="2" s="1"/>
  <c r="O28" i="2"/>
  <c r="F28" i="2" s="1"/>
  <c r="R28" i="2" s="1"/>
  <c r="T28" i="2" s="1"/>
  <c r="E29" i="2"/>
  <c r="F29" i="2"/>
  <c r="R29" i="2" s="1"/>
  <c r="T29" i="2" s="1"/>
  <c r="E30" i="2"/>
  <c r="P30" i="2" s="1"/>
  <c r="S30" i="2" s="1"/>
  <c r="F30" i="2"/>
  <c r="E31" i="2"/>
  <c r="F31" i="2"/>
  <c r="E32" i="2"/>
  <c r="F32" i="2"/>
  <c r="E35" i="2"/>
  <c r="F35" i="2"/>
  <c r="E36" i="2"/>
  <c r="F36" i="2"/>
  <c r="E37" i="2"/>
  <c r="F37" i="2"/>
  <c r="E38" i="2"/>
  <c r="P38" i="2" s="1"/>
  <c r="S38" i="2" s="1"/>
  <c r="F38" i="2"/>
  <c r="R38" i="2" s="1"/>
  <c r="T38" i="2" s="1"/>
  <c r="E39" i="2"/>
  <c r="P39" i="2" s="1"/>
  <c r="S39" i="2" s="1"/>
  <c r="O39" i="2"/>
  <c r="F39" i="2" s="1"/>
  <c r="E40" i="2"/>
  <c r="P40" i="2" s="1"/>
  <c r="S40" i="2" s="1"/>
  <c r="F40" i="2"/>
  <c r="R40" i="2" s="1"/>
  <c r="T40" i="2" s="1"/>
  <c r="E41" i="2"/>
  <c r="P41" i="2" s="1"/>
  <c r="S41" i="2" s="1"/>
  <c r="F41" i="2"/>
  <c r="R41" i="2" s="1"/>
  <c r="T41" i="2" s="1"/>
  <c r="E42" i="2"/>
  <c r="P42" i="2" s="1"/>
  <c r="S42" i="2" s="1"/>
  <c r="O42" i="2"/>
  <c r="F42" i="2" s="1"/>
  <c r="R42" i="2" s="1"/>
  <c r="T42" i="2" s="1"/>
  <c r="E44" i="2"/>
  <c r="F44" i="2"/>
  <c r="R44" i="2" s="1"/>
  <c r="T44" i="2" s="1"/>
  <c r="E45" i="2"/>
  <c r="F45" i="2"/>
  <c r="R45" i="2" s="1"/>
  <c r="T45" i="2" s="1"/>
  <c r="E46" i="2"/>
  <c r="F46" i="2"/>
  <c r="R46" i="2" s="1"/>
  <c r="T46" i="2" s="1"/>
  <c r="E47" i="2"/>
  <c r="P47" i="2" s="1"/>
  <c r="S47" i="2" s="1"/>
  <c r="O47" i="2"/>
  <c r="F47" i="2" s="1"/>
  <c r="E48" i="2"/>
  <c r="F48" i="2"/>
  <c r="R48" i="2" s="1"/>
  <c r="T48" i="2" s="1"/>
  <c r="E49" i="2"/>
  <c r="P49" i="2" s="1"/>
  <c r="S49" i="2" s="1"/>
  <c r="O49" i="2"/>
  <c r="F49" i="2" s="1"/>
  <c r="R49" i="2" s="1"/>
  <c r="T49" i="2" s="1"/>
  <c r="E50" i="2"/>
  <c r="P50" i="2" s="1"/>
  <c r="S50" i="2" s="1"/>
  <c r="F50" i="2"/>
  <c r="E51" i="2"/>
  <c r="F51" i="2"/>
  <c r="R51" i="2" s="1"/>
  <c r="T51" i="2" s="1"/>
  <c r="E52" i="2"/>
  <c r="P52" i="2" s="1"/>
  <c r="S52" i="2" s="1"/>
  <c r="F52" i="2"/>
  <c r="R52" i="2" s="1"/>
  <c r="T52" i="2" s="1"/>
  <c r="E53" i="2"/>
  <c r="P53" i="2" s="1"/>
  <c r="S53" i="2" s="1"/>
  <c r="F53" i="2"/>
  <c r="E54" i="2"/>
  <c r="P54" i="2" s="1"/>
  <c r="S54" i="2" s="1"/>
  <c r="F54" i="2"/>
  <c r="R54" i="2" s="1"/>
  <c r="T54" i="2" s="1"/>
  <c r="E55" i="2"/>
  <c r="P55" i="2" s="1"/>
  <c r="S55" i="2" s="1"/>
  <c r="F55" i="2"/>
  <c r="R55" i="2" s="1"/>
  <c r="T55" i="2" s="1"/>
  <c r="E56" i="2"/>
  <c r="F56" i="2"/>
  <c r="E57" i="2"/>
  <c r="P57" i="2" s="1"/>
  <c r="S57" i="2" s="1"/>
  <c r="O57" i="2"/>
  <c r="F57" i="2" s="1"/>
  <c r="R57" i="2" s="1"/>
  <c r="T57" i="2" s="1"/>
  <c r="E58" i="2"/>
  <c r="P58" i="2" s="1"/>
  <c r="S58" i="2" s="1"/>
  <c r="F58" i="2"/>
  <c r="R58" i="2" s="1"/>
  <c r="T58" i="2" s="1"/>
  <c r="E59" i="2"/>
  <c r="P59" i="2" s="1"/>
  <c r="S59" i="2" s="1"/>
  <c r="F59" i="2"/>
  <c r="R59" i="2" s="1"/>
  <c r="T59" i="2" s="1"/>
  <c r="E60" i="2"/>
  <c r="P60" i="2" s="1"/>
  <c r="S60" i="2" s="1"/>
  <c r="F60" i="2"/>
  <c r="E61" i="2"/>
  <c r="F61" i="2"/>
  <c r="E62" i="2"/>
  <c r="P62" i="2" s="1"/>
  <c r="S62" i="2" s="1"/>
  <c r="F62" i="2"/>
  <c r="R62" i="2" s="1"/>
  <c r="T62" i="2" s="1"/>
  <c r="E63" i="2"/>
  <c r="F63" i="2"/>
  <c r="E64" i="2"/>
  <c r="P64" i="2" s="1"/>
  <c r="S64" i="2" s="1"/>
  <c r="F64" i="2"/>
  <c r="R64" i="2" s="1"/>
  <c r="T64" i="2" s="1"/>
  <c r="E65" i="2"/>
  <c r="F65" i="2"/>
  <c r="E66" i="2"/>
  <c r="F66" i="2"/>
  <c r="E67" i="2"/>
  <c r="F67" i="2"/>
  <c r="E68" i="2"/>
  <c r="F68" i="2"/>
  <c r="E69" i="2"/>
  <c r="P69" i="2" s="1"/>
  <c r="S69" i="2" s="1"/>
  <c r="F69" i="2"/>
  <c r="R69" i="2" s="1"/>
  <c r="T69" i="2" s="1"/>
  <c r="E74" i="2"/>
  <c r="F74" i="2"/>
  <c r="R74" i="2" s="1"/>
  <c r="T74" i="2" s="1"/>
  <c r="E70" i="2"/>
  <c r="F70" i="2"/>
  <c r="R70" i="2" s="1"/>
  <c r="T70" i="2" s="1"/>
  <c r="B90" i="2"/>
  <c r="X34" i="1"/>
  <c r="X35" i="1" s="1"/>
  <c r="R67" i="1"/>
  <c r="S64" i="1"/>
  <c r="S68" i="1" s="1"/>
  <c r="V64" i="1"/>
  <c r="W64" i="1"/>
  <c r="U70" i="1"/>
  <c r="G44" i="2" l="1"/>
  <c r="H9" i="2"/>
  <c r="L9" i="2" s="1"/>
  <c r="E26" i="4"/>
  <c r="E25" i="4" s="1"/>
  <c r="G73" i="2"/>
  <c r="H73" i="2"/>
  <c r="L73" i="2" s="1"/>
  <c r="P9" i="2"/>
  <c r="S9" i="2" s="1"/>
  <c r="G9" i="2"/>
  <c r="H32" i="2"/>
  <c r="L32" i="2" s="1"/>
  <c r="H36" i="2"/>
  <c r="L36" i="2" s="1"/>
  <c r="G71" i="2"/>
  <c r="H66" i="2"/>
  <c r="L66" i="2" s="1"/>
  <c r="G15" i="2"/>
  <c r="G50" i="2"/>
  <c r="G53" i="2"/>
  <c r="H23" i="2"/>
  <c r="L23" i="2" s="1"/>
  <c r="H20" i="2"/>
  <c r="L20" i="2" s="1"/>
  <c r="H16" i="2"/>
  <c r="L16" i="2" s="1"/>
  <c r="H59" i="2"/>
  <c r="L59" i="2" s="1"/>
  <c r="G59" i="2"/>
  <c r="G46" i="2"/>
  <c r="H44" i="2"/>
  <c r="L44" i="2" s="1"/>
  <c r="G35" i="2"/>
  <c r="H29" i="2"/>
  <c r="L29" i="2" s="1"/>
  <c r="G10" i="2"/>
  <c r="G17" i="2"/>
  <c r="H67" i="2"/>
  <c r="L67" i="2" s="1"/>
  <c r="G65" i="2"/>
  <c r="G56" i="2"/>
  <c r="G52" i="2"/>
  <c r="G37" i="2"/>
  <c r="H14" i="2"/>
  <c r="L14" i="2" s="1"/>
  <c r="H12" i="2"/>
  <c r="L12" i="2" s="1"/>
  <c r="G60" i="2"/>
  <c r="G14" i="2"/>
  <c r="G66" i="2"/>
  <c r="H52" i="2"/>
  <c r="L52" i="2" s="1"/>
  <c r="G30" i="2"/>
  <c r="P29" i="2"/>
  <c r="S29" i="2" s="1"/>
  <c r="H63" i="2"/>
  <c r="L63" i="2" s="1"/>
  <c r="P44" i="2"/>
  <c r="S44" i="2" s="1"/>
  <c r="G23" i="2"/>
  <c r="G32" i="2"/>
  <c r="G29" i="2"/>
  <c r="G67" i="2"/>
  <c r="H55" i="2"/>
  <c r="L55" i="2" s="1"/>
  <c r="H37" i="2"/>
  <c r="L37" i="2" s="1"/>
  <c r="L26" i="2"/>
  <c r="H21" i="2"/>
  <c r="L21" i="2" s="1"/>
  <c r="G13" i="2"/>
  <c r="G20" i="2"/>
  <c r="P20" i="2"/>
  <c r="S20" i="2" s="1"/>
  <c r="R50" i="2"/>
  <c r="T50" i="2" s="1"/>
  <c r="G74" i="2"/>
  <c r="H68" i="2"/>
  <c r="L68" i="2" s="1"/>
  <c r="H62" i="2"/>
  <c r="L62" i="2" s="1"/>
  <c r="R60" i="2"/>
  <c r="T60" i="2" s="1"/>
  <c r="R53" i="2"/>
  <c r="T53" i="2" s="1"/>
  <c r="H51" i="2"/>
  <c r="L51" i="2" s="1"/>
  <c r="H48" i="2"/>
  <c r="L48" i="2" s="1"/>
  <c r="H45" i="2"/>
  <c r="L45" i="2" s="1"/>
  <c r="G31" i="2"/>
  <c r="H28" i="2"/>
  <c r="L28" i="2" s="1"/>
  <c r="H19" i="2"/>
  <c r="L19" i="2" s="1"/>
  <c r="H13" i="2"/>
  <c r="L13" i="2" s="1"/>
  <c r="G62" i="2"/>
  <c r="H56" i="2"/>
  <c r="L56" i="2" s="1"/>
  <c r="H40" i="2"/>
  <c r="L40" i="2" s="1"/>
  <c r="H17" i="2"/>
  <c r="L17" i="2" s="1"/>
  <c r="G40" i="2"/>
  <c r="G12" i="2"/>
  <c r="H69" i="2"/>
  <c r="L69" i="2" s="1"/>
  <c r="G64" i="2"/>
  <c r="G63" i="2"/>
  <c r="G61" i="2"/>
  <c r="H49" i="2"/>
  <c r="L49" i="2" s="1"/>
  <c r="G42" i="2"/>
  <c r="H35" i="2"/>
  <c r="L35" i="2" s="1"/>
  <c r="R30" i="2"/>
  <c r="T30" i="2" s="1"/>
  <c r="G27" i="2"/>
  <c r="G25" i="2"/>
  <c r="G21" i="2"/>
  <c r="P19" i="2"/>
  <c r="S19" i="2" s="1"/>
  <c r="H18" i="2"/>
  <c r="L18" i="2" s="1"/>
  <c r="R10" i="2"/>
  <c r="T10" i="2" s="1"/>
  <c r="R47" i="2"/>
  <c r="T47" i="2" s="1"/>
  <c r="H47" i="2"/>
  <c r="L47" i="2" s="1"/>
  <c r="G47" i="2"/>
  <c r="P70" i="2"/>
  <c r="S70" i="2" s="1"/>
  <c r="H70" i="2"/>
  <c r="L70" i="2" s="1"/>
  <c r="H57" i="2"/>
  <c r="L57" i="2" s="1"/>
  <c r="G39" i="2"/>
  <c r="R39" i="2"/>
  <c r="T39" i="2" s="1"/>
  <c r="H39" i="2"/>
  <c r="L39" i="2" s="1"/>
  <c r="G57" i="2"/>
  <c r="G70" i="2"/>
  <c r="G16" i="2"/>
  <c r="G45" i="2"/>
  <c r="G51" i="2"/>
  <c r="G58" i="2"/>
  <c r="G11" i="2"/>
  <c r="P45" i="2"/>
  <c r="S45" i="2" s="1"/>
  <c r="G54" i="2"/>
  <c r="H65" i="2"/>
  <c r="L65" i="2" s="1"/>
  <c r="H61" i="2"/>
  <c r="L61" i="2" s="1"/>
  <c r="H54" i="2"/>
  <c r="L54" i="2" s="1"/>
  <c r="H50" i="2"/>
  <c r="L50" i="2" s="1"/>
  <c r="H41" i="2"/>
  <c r="L41" i="2" s="1"/>
  <c r="H31" i="2"/>
  <c r="L31" i="2" s="1"/>
  <c r="H25" i="2"/>
  <c r="L25" i="2" s="1"/>
  <c r="H15" i="2"/>
  <c r="L15" i="2" s="1"/>
  <c r="H11" i="2"/>
  <c r="L11" i="2" s="1"/>
  <c r="H71" i="2"/>
  <c r="L71" i="2" s="1"/>
  <c r="G41" i="2"/>
  <c r="G48" i="2"/>
  <c r="G55" i="2"/>
  <c r="P74" i="2"/>
  <c r="S74" i="2" s="1"/>
  <c r="P51" i="2"/>
  <c r="S51" i="2" s="1"/>
  <c r="G69" i="2"/>
  <c r="G49" i="2"/>
  <c r="H74" i="2"/>
  <c r="L74" i="2" s="1"/>
  <c r="G68" i="2"/>
  <c r="H58" i="2"/>
  <c r="L58" i="2" s="1"/>
  <c r="H38" i="2"/>
  <c r="L38" i="2" s="1"/>
  <c r="G36" i="2"/>
  <c r="H27" i="2"/>
  <c r="L27" i="2" s="1"/>
  <c r="G18" i="2"/>
  <c r="H8" i="2"/>
  <c r="L8" i="2" s="1"/>
  <c r="G8" i="2"/>
  <c r="G38" i="2"/>
  <c r="P46" i="2"/>
  <c r="S46" i="2" s="1"/>
  <c r="G19" i="2"/>
  <c r="P48" i="2"/>
  <c r="S48" i="2" s="1"/>
  <c r="G28" i="2"/>
  <c r="H42" i="2"/>
  <c r="L42" i="2" s="1"/>
  <c r="H64" i="2"/>
  <c r="L64" i="2" s="1"/>
  <c r="H60" i="2"/>
  <c r="L60" i="2" s="1"/>
  <c r="H53" i="2"/>
  <c r="L53" i="2" s="1"/>
  <c r="H46" i="2"/>
  <c r="L46" i="2" s="1"/>
  <c r="H30" i="2"/>
  <c r="L30" i="2" s="1"/>
  <c r="H10" i="2"/>
  <c r="L10" i="2" s="1"/>
  <c r="S67" i="1"/>
  <c r="R68" i="1"/>
  <c r="K36" i="1" l="1"/>
  <c r="R65" i="1" l="1"/>
  <c r="U68" i="1"/>
  <c r="T68" i="1" l="1"/>
  <c r="T67" i="1"/>
  <c r="R66" i="1"/>
  <c r="M40" i="1" l="1"/>
  <c r="E66" i="4" l="1"/>
  <c r="H22" i="1" l="1"/>
  <c r="K30" i="1"/>
  <c r="G22" i="1"/>
  <c r="K6" i="1"/>
  <c r="G16" i="1"/>
  <c r="G15" i="1" l="1"/>
  <c r="K15" i="1"/>
  <c r="K16" i="1"/>
  <c r="G27" i="1"/>
  <c r="K24" i="1"/>
  <c r="J54" i="1"/>
  <c r="K23" i="1"/>
  <c r="I54" i="1"/>
  <c r="K54" i="1" s="1"/>
  <c r="K28" i="1"/>
  <c r="K25" i="1" l="1"/>
  <c r="K14" i="1"/>
  <c r="M47" i="1" s="1"/>
  <c r="G31" i="1"/>
  <c r="K13" i="1"/>
  <c r="K27" i="1"/>
  <c r="K26" i="1"/>
  <c r="AB56" i="1" l="1"/>
  <c r="C48" i="1"/>
  <c r="K31" i="1"/>
  <c r="X6" i="1"/>
  <c r="K46" i="1" l="1"/>
  <c r="M49" i="1"/>
  <c r="I46" i="1" l="1"/>
  <c r="G46" i="1"/>
  <c r="M46" i="1"/>
  <c r="I49" i="1" s="1"/>
  <c r="L47" i="1" l="1" a="1"/>
  <c r="L47" i="1" s="1"/>
  <c r="I50" i="1"/>
  <c r="G50" i="1" s="1"/>
  <c r="I53" i="1" s="1"/>
  <c r="F48" i="1"/>
  <c r="K47" i="1"/>
  <c r="D48" i="1"/>
  <c r="E48" i="1" l="1"/>
  <c r="G49" i="1"/>
  <c r="H53" i="1" l="1"/>
  <c r="H52" i="1" s="1"/>
  <c r="L44" i="1"/>
  <c r="X59" i="1"/>
  <c r="L52" i="1" l="1"/>
  <c r="K52" i="1"/>
  <c r="M52"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<sst xmlns="http://schemas.openxmlformats.org/spreadsheetml/2006/main" count="723" uniqueCount="359">
  <si>
    <t>Resolución en Visión y CCD</t>
  </si>
  <si>
    <t>Bases Ref.</t>
  </si>
  <si>
    <t>H</t>
  </si>
  <si>
    <t>V</t>
  </si>
  <si>
    <t>ATK1CII</t>
  </si>
  <si>
    <t>PHILIPS</t>
  </si>
  <si>
    <t>CCD</t>
  </si>
  <si>
    <t>CMOS</t>
  </si>
  <si>
    <t>CANON</t>
  </si>
  <si>
    <t>NIKON</t>
  </si>
  <si>
    <t>COOLPIX 4500</t>
  </si>
  <si>
    <t>LOGITECH</t>
  </si>
  <si>
    <t>Quick Cam 4000</t>
  </si>
  <si>
    <t>Tipo</t>
  </si>
  <si>
    <t>RDC4200</t>
  </si>
  <si>
    <t>x</t>
  </si>
  <si>
    <t>ToUcam Pro II</t>
  </si>
  <si>
    <t>ATIK</t>
  </si>
  <si>
    <t>RICOH</t>
  </si>
  <si>
    <t>SONY</t>
  </si>
  <si>
    <t>DSC P100</t>
  </si>
  <si>
    <t>1004 X</t>
  </si>
  <si>
    <t>JG_Peltier</t>
  </si>
  <si>
    <t>PENTAX</t>
  </si>
  <si>
    <t>IST DS</t>
  </si>
  <si>
    <t>OLYMPUS</t>
  </si>
  <si>
    <t>EOS 350D</t>
  </si>
  <si>
    <t>SXV-M25C</t>
  </si>
  <si>
    <t>SBIG</t>
  </si>
  <si>
    <t>MEADE</t>
  </si>
  <si>
    <t>PICTOR 416</t>
  </si>
  <si>
    <t>SXV-M8C</t>
  </si>
  <si>
    <t>STARLIGHT</t>
  </si>
  <si>
    <t>PANASONIC</t>
  </si>
  <si>
    <t>DMC-LC5</t>
  </si>
  <si>
    <t>Básicos del Telescopio</t>
  </si>
  <si>
    <t>Relación focal   F</t>
  </si>
  <si>
    <t xml:space="preserve">Ocular </t>
  </si>
  <si>
    <t xml:space="preserve">df </t>
  </si>
  <si>
    <r>
      <t xml:space="preserve">Marcas  </t>
    </r>
    <r>
      <rPr>
        <b/>
        <sz val="11"/>
        <color indexed="62"/>
        <rFont val="Arial Narrow"/>
        <family val="2"/>
      </rPr>
      <t/>
    </r>
  </si>
  <si>
    <t>APOGEE</t>
  </si>
  <si>
    <t>AP9E</t>
  </si>
  <si>
    <t>AP32ME</t>
  </si>
  <si>
    <t>AP4</t>
  </si>
  <si>
    <t>en Ocular</t>
  </si>
  <si>
    <t>SXV-H9C</t>
  </si>
  <si>
    <t>ARTEMIS</t>
  </si>
  <si>
    <t>MX716</t>
  </si>
  <si>
    <t>DMK 21F04</t>
  </si>
  <si>
    <t>LPI</t>
  </si>
  <si>
    <t>D70</t>
  </si>
  <si>
    <t>-</t>
  </si>
  <si>
    <t>h</t>
  </si>
  <si>
    <t>m</t>
  </si>
  <si>
    <t>s</t>
  </si>
  <si>
    <t>mes</t>
  </si>
  <si>
    <t>día</t>
  </si>
  <si>
    <t>año d.C.</t>
  </si>
  <si>
    <t>E-330</t>
  </si>
  <si>
    <t>DSI Pro II</t>
  </si>
  <si>
    <t xml:space="preserve">STL11000XM </t>
  </si>
  <si>
    <t>Aumentos equivalentes</t>
  </si>
  <si>
    <t>ATK16IC</t>
  </si>
  <si>
    <t>Ø</t>
  </si>
  <si>
    <t>ST-7XM</t>
  </si>
  <si>
    <t>ST-8XE</t>
  </si>
  <si>
    <t>TABLA_06</t>
  </si>
  <si>
    <t>dependiendo del FWHM</t>
  </si>
  <si>
    <t>WATEC</t>
  </si>
  <si>
    <t>WAT-100N</t>
  </si>
  <si>
    <t>ORION</t>
  </si>
  <si>
    <t>StarShoot Pro</t>
  </si>
  <si>
    <t xml:space="preserve">Modelo              enlace a URL </t>
  </si>
  <si>
    <t>EOS 300D</t>
  </si>
  <si>
    <t>hora</t>
  </si>
  <si>
    <t>min</t>
  </si>
  <si>
    <t>seg</t>
  </si>
  <si>
    <t>año</t>
  </si>
  <si>
    <t>JD</t>
  </si>
  <si>
    <t>DECIMAL</t>
  </si>
  <si>
    <t>formato</t>
  </si>
  <si>
    <t>LUMENERA</t>
  </si>
  <si>
    <t>SkyNyx 2.0</t>
  </si>
  <si>
    <t>Campo</t>
  </si>
  <si>
    <t>NMOS</t>
  </si>
  <si>
    <t>http://www.kodak.com/global/en/business/ISS/Products/Fullframe/</t>
  </si>
  <si>
    <t>Sensores Fullframe SONY</t>
  </si>
  <si>
    <t>Sensores Fullframe KODAK</t>
  </si>
  <si>
    <t>QHY5</t>
  </si>
  <si>
    <t>TeleXtender dist. Ocu. Sensor</t>
  </si>
  <si>
    <t>MT9M001</t>
  </si>
  <si>
    <t>EOS 5D II</t>
  </si>
  <si>
    <t>avi 30fps</t>
  </si>
  <si>
    <t>QHY9</t>
  </si>
  <si>
    <t>QHY8</t>
  </si>
  <si>
    <t>Tipo y Modelo</t>
  </si>
  <si>
    <t xml:space="preserve">Chip Sensor </t>
  </si>
  <si>
    <t>Marca y Modelo</t>
  </si>
  <si>
    <t>UTC - España :                Verano  LT-2 Invierno  LT-1</t>
  </si>
  <si>
    <t>---</t>
  </si>
  <si>
    <r>
      <t xml:space="preserve">CARACTERISTICAS de CAMARAS DIGITALES </t>
    </r>
    <r>
      <rPr>
        <b/>
        <i/>
        <sz val="14"/>
        <color indexed="9"/>
        <rFont val="Arial"/>
        <family val="2"/>
      </rPr>
      <t xml:space="preserve"> </t>
    </r>
    <r>
      <rPr>
        <i/>
        <sz val="14"/>
        <color indexed="9"/>
        <rFont val="Arial"/>
        <family val="2"/>
      </rPr>
      <t/>
    </r>
  </si>
  <si>
    <r>
      <t xml:space="preserve">Relación de Cámaras   "DSLR"  y  </t>
    </r>
    <r>
      <rPr>
        <b/>
        <sz val="11"/>
        <color indexed="22"/>
        <rFont val="Arial"/>
        <family val="2"/>
      </rPr>
      <t>"Específicas"</t>
    </r>
  </si>
  <si>
    <t>EOS 400D</t>
  </si>
  <si>
    <t>ref.Cám. 36 mm</t>
  </si>
  <si>
    <t>nº Effective Píxels   Hriz. Vert. y total</t>
  </si>
  <si>
    <t>ART285C</t>
  </si>
  <si>
    <t>ART4021</t>
  </si>
  <si>
    <t>ATK16HRC</t>
  </si>
  <si>
    <t>QHY12</t>
  </si>
  <si>
    <t>ATK1HS</t>
  </si>
  <si>
    <t>EOS 1000</t>
  </si>
  <si>
    <t>ICX285AL</t>
  </si>
  <si>
    <t>ATK 383L+</t>
  </si>
  <si>
    <t>ICX429ALL</t>
  </si>
  <si>
    <t>SXVF-M25C</t>
  </si>
  <si>
    <t>DMK 21AU4AS</t>
  </si>
  <si>
    <t>Para ACTUALIZAR   Fecha y Hora   -   pulsar  F9</t>
  </si>
  <si>
    <t>SXVR-H18</t>
  </si>
  <si>
    <t>DMK21AU618</t>
  </si>
  <si>
    <t>The Imaging Source</t>
  </si>
  <si>
    <r>
      <t>Pixel  µm</t>
    </r>
    <r>
      <rPr>
        <sz val="11"/>
        <color indexed="9"/>
        <rFont val="Arial"/>
        <family val="2"/>
      </rPr>
      <t xml:space="preserve">  </t>
    </r>
  </si>
  <si>
    <t xml:space="preserve">Sensores:  KODAK (KAF)  SONY (ICX) </t>
  </si>
  <si>
    <t>ICX098BQ</t>
  </si>
  <si>
    <t>ICX424AL</t>
  </si>
  <si>
    <t>KAF8300CE</t>
  </si>
  <si>
    <t>ICX424</t>
  </si>
  <si>
    <t>KAI2020CM</t>
  </si>
  <si>
    <t>KAF0402ME</t>
  </si>
  <si>
    <t>ICX429AL</t>
  </si>
  <si>
    <t>ICX406AQ</t>
  </si>
  <si>
    <t>KAF8300M</t>
  </si>
  <si>
    <t>ICX453AQ</t>
  </si>
  <si>
    <t>ICX413AQ</t>
  </si>
  <si>
    <t>ICX098BL</t>
  </si>
  <si>
    <t>ICX618ALA</t>
  </si>
  <si>
    <t>DMK31AU03</t>
  </si>
  <si>
    <t xml:space="preserve"> ICX204AL</t>
  </si>
  <si>
    <t>B/W</t>
  </si>
  <si>
    <t>ST-2000XCM</t>
  </si>
  <si>
    <t>Chip-Sensor en mm</t>
  </si>
  <si>
    <t>DMK41AU02AS</t>
  </si>
  <si>
    <t>ICX205AL</t>
  </si>
  <si>
    <t>LUNATICO</t>
  </si>
  <si>
    <t>QHY 5L II</t>
  </si>
  <si>
    <t>MT9M034</t>
  </si>
  <si>
    <t xml:space="preserve">Seleccionar el Modo de Observación   </t>
  </si>
  <si>
    <t>sobre CCD</t>
  </si>
  <si>
    <t>STT 8300</t>
  </si>
  <si>
    <t>KAF8300</t>
  </si>
  <si>
    <t>BASLER</t>
  </si>
  <si>
    <t>acA640-90</t>
  </si>
  <si>
    <t>avi 82fps</t>
  </si>
  <si>
    <t>ST-9E</t>
  </si>
  <si>
    <t>KAF0261E</t>
  </si>
  <si>
    <t>ZWO</t>
  </si>
  <si>
    <t xml:space="preserve"> MT9M034 </t>
  </si>
  <si>
    <t>ST8-XME</t>
  </si>
  <si>
    <r>
      <t xml:space="preserve">más Guía de 650x495 px de 7,4 </t>
    </r>
    <r>
      <rPr>
        <sz val="11"/>
        <rFont val="Symbol"/>
        <family val="1"/>
        <charset val="2"/>
      </rPr>
      <t>m</t>
    </r>
    <r>
      <rPr>
        <sz val="11"/>
        <rFont val="Arial"/>
        <family val="2"/>
      </rPr>
      <t>m</t>
    </r>
  </si>
  <si>
    <t>KAF-1603ME</t>
  </si>
  <si>
    <t>EOS 1200 D</t>
  </si>
  <si>
    <t>ADICIONALES</t>
  </si>
  <si>
    <r>
      <t xml:space="preserve">nº px </t>
    </r>
    <r>
      <rPr>
        <sz val="12"/>
        <color indexed="8"/>
        <rFont val="Arial"/>
        <family val="2"/>
      </rPr>
      <t>(en H)</t>
    </r>
    <r>
      <rPr>
        <b/>
        <sz val="12"/>
        <color indexed="8"/>
        <rFont val="Arial"/>
        <family val="2"/>
      </rPr>
      <t xml:space="preserve"> =</t>
    </r>
    <r>
      <rPr>
        <sz val="12"/>
        <color indexed="8"/>
        <rFont val="Arial"/>
        <family val="2"/>
      </rPr>
      <t xml:space="preserve"> </t>
    </r>
    <r>
      <rPr>
        <b/>
        <sz val="12"/>
        <color indexed="8"/>
        <rFont val="Arial"/>
        <family val="2"/>
      </rPr>
      <t>H</t>
    </r>
    <r>
      <rPr>
        <sz val="9"/>
        <color indexed="8"/>
        <rFont val="Arial"/>
        <family val="2"/>
      </rPr>
      <t xml:space="preserve">mm </t>
    </r>
    <r>
      <rPr>
        <b/>
        <sz val="12"/>
        <color indexed="8"/>
        <rFont val="Arial"/>
        <family val="2"/>
      </rPr>
      <t>/</t>
    </r>
    <r>
      <rPr>
        <sz val="12"/>
        <color indexed="8"/>
        <rFont val="Arial"/>
        <family val="2"/>
      </rPr>
      <t xml:space="preserve"> (</t>
    </r>
    <r>
      <rPr>
        <b/>
        <sz val="12"/>
        <color indexed="8"/>
        <rFont val="Arial"/>
        <family val="2"/>
      </rPr>
      <t>px</t>
    </r>
    <r>
      <rPr>
        <sz val="9"/>
        <color indexed="8"/>
        <rFont val="Arial"/>
        <family val="2"/>
      </rPr>
      <t xml:space="preserve">µm </t>
    </r>
    <r>
      <rPr>
        <sz val="12"/>
        <color indexed="8"/>
        <rFont val="Arial"/>
        <family val="2"/>
      </rPr>
      <t>/</t>
    </r>
    <r>
      <rPr>
        <sz val="9"/>
        <color indexed="8"/>
        <rFont val="Arial"/>
        <family val="2"/>
      </rPr>
      <t>10^3</t>
    </r>
    <r>
      <rPr>
        <sz val="12"/>
        <color indexed="8"/>
        <rFont val="Arial"/>
        <family val="2"/>
      </rPr>
      <t>)</t>
    </r>
  </si>
  <si>
    <t>ASI224MC</t>
  </si>
  <si>
    <t>IMX224</t>
  </si>
  <si>
    <t>Color</t>
  </si>
  <si>
    <t>APORTES PARA CONFIGURAR LA "TABLA_01"</t>
  </si>
  <si>
    <t/>
  </si>
  <si>
    <t>VERIFICACIONES sobre Monitor</t>
  </si>
  <si>
    <t>Hora UTC</t>
  </si>
  <si>
    <t>QHY5PII</t>
  </si>
  <si>
    <t>MT9P031 mono</t>
  </si>
  <si>
    <t>PRINCIPIO:  Entendemos composición idónea en telescopios, aquella que aporte el mayor tamaño en % del Objeto fotografiado respecto a la pantalla del Monitor, más su calidad respecto al FWHM / Resolución y en resumen, la que obtendremos en la imagen final, con el máximo de detalles.</t>
  </si>
  <si>
    <t>http://www.pvol.ehu.es/pvol/tools.jsp?action=jdcm</t>
  </si>
  <si>
    <t>ASI174MM</t>
  </si>
  <si>
    <t>IMX174</t>
  </si>
  <si>
    <t>ASI183MM</t>
  </si>
  <si>
    <t>IMX183CLK-J / CQJ-J </t>
  </si>
  <si>
    <t xml:space="preserve">Visionando en Monitor de 7" acoplado a la DSLR, o de TV conectando al PC mediante HDMI, la Carta de Ajuste "EIA 1956"  para DSLR's, ya que las informaciones sobre barlows, reductores, etc., sobre sensores CCD, no siempre son exactas precisando factor corrector, en las fórmulas de aplicación para obtener una imagen, que refleje ciertamente las cotas del Objeto a fotografiar. </t>
  </si>
  <si>
    <t>Equivale a :</t>
  </si>
  <si>
    <t>NOTA:  La distancia en Km y/o UA al objeto, está referida a la Tierra</t>
  </si>
  <si>
    <t>´´´´´´´´´´´´´´´´´´´´´´´´´´´´´´´´´´´´´´´´´´´´´´´´´´´´´´´´´´´´´´´´´´´´´´´´´´´´´´´´´´´´´´´´´´´´´´´´´´´´´´´´´´´´´´´´´´´´´´´´´´´´´´´´´´´´´´´´´´´´´´´´´´´´´´´´´´´´´´´´´´´´´´´´´´´´´´´´´´´´´´´´´´´´´´´´´´´´´´´´´´´´´´´´´´´´´´´´´´´´´´´´´´´´´´´´´´´´´´´´´´´´</t>
  </si>
  <si>
    <t>Distancia ±</t>
  </si>
  <si>
    <t>Ocupará en H ±</t>
  </si>
  <si>
    <t>Red. Focal  6,3</t>
  </si>
  <si>
    <t>Aportes para situar en la "TABLA_01", y obtener resultados de la  "F",  sobre "Resolución",   "segundos de arco en H y V",  "Amplificación",  "F.O.V.",  "Nº de tomas a grabar",  "Tiempo para grabación",  etc.</t>
  </si>
  <si>
    <t>SATURNO</t>
  </si>
  <si>
    <t>JÚPITER</t>
  </si>
  <si>
    <t>CONFIGURACIÓN del TELESCOPIO</t>
  </si>
  <si>
    <t>ASI120MM-S</t>
  </si>
  <si>
    <t>Operando</t>
  </si>
  <si>
    <t>µm / píxel</t>
  </si>
  <si>
    <t>ROI / píxeles</t>
  </si>
  <si>
    <t>D570</t>
  </si>
  <si>
    <t>EOS 450D</t>
  </si>
  <si>
    <t xml:space="preserve">                                                               </t>
  </si>
  <si>
    <t>ASI294MM</t>
  </si>
  <si>
    <t>EOS 550 D</t>
  </si>
  <si>
    <t>ASI178MC</t>
  </si>
  <si>
    <t>IMX178</t>
  </si>
  <si>
    <t xml:space="preserve">GRABACIÓN del VÍDEO con "CCD" </t>
  </si>
  <si>
    <t>https://www.astropractica.org</t>
  </si>
  <si>
    <t>ASI462MC</t>
  </si>
  <si>
    <t>ASI290MM</t>
  </si>
  <si>
    <t>ESPECIFICACIONES de la "CCD" y/o de la "DSLR"</t>
  </si>
  <si>
    <t xml:space="preserve">COMENTARIOS SOBRE OBTENIDOS </t>
  </si>
  <si>
    <t>Pass 1477</t>
  </si>
  <si>
    <t xml:space="preserve">MODOS de OBSERVACIÓN y/o GRABACIÓN   </t>
  </si>
  <si>
    <t xml:space="preserve">-27,00 </t>
  </si>
  <si>
    <t>UA  a  Km</t>
  </si>
  <si>
    <t>aL  a  Km</t>
  </si>
  <si>
    <t>UA</t>
  </si>
  <si>
    <t>H en imagen</t>
  </si>
  <si>
    <t>V en imagen</t>
  </si>
  <si>
    <t>Ø SOL</t>
  </si>
  <si>
    <t>Ø del gráfico SDO HMI</t>
  </si>
  <si>
    <t>Equivalente en Km de las medidas de esa mancha</t>
  </si>
  <si>
    <t>QHY5III462C</t>
  </si>
  <si>
    <t>IMX462</t>
  </si>
  <si>
    <t>Reducción de ruido, por el número de frames obtenidos</t>
  </si>
  <si>
    <t>Máxima "Magnitud visual" y sobre CCD, para ese Ø del Telescopio y respecto al Seeing</t>
  </si>
  <si>
    <t>Ø Objetivo</t>
  </si>
  <si>
    <t>IMX585</t>
  </si>
  <si>
    <t>QHY585C</t>
  </si>
  <si>
    <t xml:space="preserve">  Campo cubierto</t>
  </si>
  <si>
    <t>por el grupo de cráteres</t>
  </si>
  <si>
    <t>https://www.astropractica.org/ejem/s-solar/luna.pdf</t>
  </si>
  <si>
    <t xml:space="preserve">  Para obtener los grados CMI, CMII y CMIII</t>
  </si>
  <si>
    <t xml:space="preserve">  Para obtener los grados CMI y CMIII</t>
  </si>
  <si>
    <t>Plate Scale con CCD</t>
  </si>
  <si>
    <t>Seeing  en su  FWHM</t>
  </si>
  <si>
    <t>Los aportes conseguidos se situarán en la TABLA_01, anotando en élla simplemente  SATURNO</t>
  </si>
  <si>
    <t>Los aportes conseguidos se situarán en la TABLA_01, anotando en élla simplemente  JÚPITER</t>
  </si>
  <si>
    <t xml:space="preserve"> Los aportes conseguidos se situarán en la TABLA_01, anotando en élla simplemente  SUNSPOTS</t>
  </si>
  <si>
    <t>https://astropractica.org/tem3/messier/messier.htm</t>
  </si>
  <si>
    <t>*</t>
  </si>
  <si>
    <t>º Ø escalado… obtenido de Stellarium 25.1</t>
  </si>
  <si>
    <t>Cnt+L</t>
  </si>
  <si>
    <t>Ültima actualización</t>
  </si>
  <si>
    <t>Buscar o Renombrar</t>
  </si>
  <si>
    <t>Revisar</t>
  </si>
  <si>
    <t xml:space="preserve">Poder separador </t>
  </si>
  <si>
    <r>
      <t>DF</t>
    </r>
    <r>
      <rPr>
        <b/>
        <vertAlign val="subscript"/>
        <sz val="10"/>
        <color indexed="9"/>
        <rFont val="Arial"/>
        <family val="2"/>
      </rPr>
      <t>eq</t>
    </r>
    <r>
      <rPr>
        <b/>
        <sz val="10"/>
        <color indexed="9"/>
        <rFont val="Arial"/>
        <family val="2"/>
      </rPr>
      <t xml:space="preserve">   </t>
    </r>
    <r>
      <rPr>
        <sz val="10"/>
        <color indexed="9"/>
        <rFont val="Arial"/>
        <family val="2"/>
      </rPr>
      <t>Effective focal length</t>
    </r>
  </si>
  <si>
    <r>
      <t xml:space="preserve">Pupila de salida   </t>
    </r>
    <r>
      <rPr>
        <sz val="10"/>
        <color indexed="9"/>
        <rFont val="Arial"/>
        <family val="2"/>
      </rPr>
      <t xml:space="preserve">Teórica </t>
    </r>
  </si>
  <si>
    <t>Magnitud visual Límite</t>
  </si>
  <si>
    <t>Velocidad Cuadro ± fps</t>
  </si>
  <si>
    <t xml:space="preserve"> actualizar F9</t>
  </si>
  <si>
    <t>Para fondo de cielo "FC" ver</t>
  </si>
  <si>
    <t>SCT</t>
  </si>
  <si>
    <t>CELESTRON</t>
  </si>
  <si>
    <t>ancho de la carta</t>
  </si>
  <si>
    <t>Distante hasta PC</t>
  </si>
  <si>
    <r>
      <t xml:space="preserve">Para verificarlo, utilizo el sensor de la CCD o DSLR acoplado al Telescopio </t>
    </r>
    <r>
      <rPr>
        <b/>
        <i/>
        <sz val="9"/>
        <color indexed="8"/>
        <rFont val="Arial"/>
        <family val="2"/>
      </rPr>
      <t>(Celestrón 8'' Ø</t>
    </r>
    <r>
      <rPr>
        <b/>
        <sz val="9"/>
        <color indexed="8"/>
        <rFont val="Arial"/>
        <family val="2"/>
      </rPr>
      <t>), con sus diversos adicionales posibles, situando a cierta distancia y uniformemente iluminada, la Carta de Ajuste "EIA 1956" de 0,250 m x 0,180 m situada a 14,32252 m, permitiendo una verificación de campo con   3600 ''arc  =  1º, y para mayor precisión, la visiono en la pantalla milimetrada del monitor.</t>
    </r>
  </si>
  <si>
    <t>atan ( Ø / Dist ) x 206265  =</t>
  </si>
  <si>
    <t>* aL</t>
  </si>
  <si>
    <t>Para obtener parámetros de OBJETOS de la tabla "MESSIER" ( * ), pulsar dn el enlace:</t>
  </si>
  <si>
    <t xml:space="preserve">" SATURNO "  </t>
  </si>
  <si>
    <t xml:space="preserve">" JUPITER "  </t>
  </si>
  <si>
    <t xml:space="preserve">" LUNA "   </t>
  </si>
  <si>
    <t xml:space="preserve">  Campo en "arc</t>
  </si>
  <si>
    <t>por grupo de manchas</t>
  </si>
  <si>
    <t>Ø SOL obtenido de Stellarium</t>
  </si>
  <si>
    <t>Ejem.:  En las cartas del enlace  10º ocupan 40 mm, por tanto  x mm  del campo seleccionado, ocuparán  yº  tanto para el ancho, como para el alto de la imagen seleccionada, anotarlas.   -   Luego anotar en TABLA_01 simplemente LUNA</t>
  </si>
  <si>
    <t xml:space="preserve"> del enlace, para conseguir las cotas  ºH y ºV  pulsar en </t>
  </si>
  <si>
    <t>Valores identificativos para ese objeto a observar en fecha concreta, obtenidos en CONFIG desde el software "Stellarium 25.1"</t>
  </si>
  <si>
    <t>Magnitud visual</t>
  </si>
  <si>
    <t>Filtro % Transferencia</t>
  </si>
  <si>
    <t xml:space="preserve">Conocido lo que ocupa en la CCD y lo que teóricamente debe para conseguir 1º00'00'' de anchura = 3600 "arc, nos servirá para conocer si la Reductora de Focal, en principio sea de un 63% (las clásicas para SCT de 6,3) , etc. es la correcta con esa proporción o no.    Lo mismo puede aplicarse para verificar las Barlow, del tipo x2 ó x3, etc.    </t>
  </si>
  <si>
    <t>Si la imagen procesada, es superior a los grados del ocular, el objeto se verá parcialmente</t>
  </si>
  <si>
    <t xml:space="preserve">± Ø escalado </t>
  </si>
  <si>
    <r>
      <t>± Ø</t>
    </r>
    <r>
      <rPr>
        <b/>
        <vertAlign val="subscript"/>
        <sz val="11"/>
        <color indexed="8"/>
        <rFont val="Arial"/>
        <family val="2"/>
      </rPr>
      <t xml:space="preserve">eq </t>
    </r>
    <r>
      <rPr>
        <b/>
        <sz val="11"/>
        <color indexed="8"/>
        <rFont val="Arial"/>
        <family val="2"/>
      </rPr>
      <t xml:space="preserve">   ◄---►</t>
    </r>
  </si>
  <si>
    <r>
      <t>± Ø</t>
    </r>
    <r>
      <rPr>
        <b/>
        <vertAlign val="subscript"/>
        <sz val="11"/>
        <color indexed="8"/>
        <rFont val="Arial"/>
        <family val="2"/>
      </rPr>
      <t xml:space="preserve">eq </t>
    </r>
    <r>
      <rPr>
        <b/>
        <sz val="11"/>
        <color indexed="8"/>
        <rFont val="Arial"/>
        <family val="2"/>
      </rPr>
      <t xml:space="preserve">  ◄---►</t>
    </r>
  </si>
  <si>
    <t>ASI662MM</t>
  </si>
  <si>
    <t>Valores del campo seleccionado, obtenidos en las cartas</t>
  </si>
  <si>
    <t>ASI2600MM</t>
  </si>
  <si>
    <t>horario universal ( UTC ), para programar de la "Unidad de Control"</t>
  </si>
  <si>
    <t>Corregirlo, anotando la diferencia del "horario local" ( LT ) a la del</t>
  </si>
  <si>
    <t>PARA FOTOGRAFIAR y GRABAR VIDEOS</t>
  </si>
  <si>
    <t>Bajar última versión de TABLA_01 y disfrutar de la actualización.</t>
  </si>
  <si>
    <t>Actualizar esta tabla  "01.xlsx"</t>
  </si>
  <si>
    <t>=   ±</t>
  </si>
  <si>
    <t xml:space="preserve">" DEEP SKY " </t>
  </si>
  <si>
    <r>
      <rPr>
        <b/>
        <sz val="11"/>
        <color rgb="FF000000"/>
        <rFont val="Arial"/>
        <family val="2"/>
      </rPr>
      <t xml:space="preserve">Ocupará </t>
    </r>
    <r>
      <rPr>
        <b/>
        <sz val="11"/>
        <color indexed="8"/>
        <rFont val="Arial"/>
        <family val="2"/>
      </rPr>
      <t xml:space="preserve"> ± </t>
    </r>
  </si>
  <si>
    <t>Sensor  Ø</t>
  </si>
  <si>
    <t>mailto:    jmp.astropractica@gmail.com</t>
  </si>
  <si>
    <t>MESSIER</t>
  </si>
  <si>
    <t>ASI678MC y MM</t>
  </si>
  <si>
    <t>Color y B/N</t>
  </si>
  <si>
    <t>ASI585MC</t>
  </si>
  <si>
    <t>MODO GRABACIÓN en  (FP)  o  (PO)</t>
  </si>
  <si>
    <t>Field of View ''FOV''    H y V  en  'arc</t>
  </si>
  <si>
    <r>
      <t xml:space="preserve">Adicionales  </t>
    </r>
    <r>
      <rPr>
        <b/>
        <sz val="6.5"/>
        <color rgb="FFFFFFFF"/>
        <rFont val="Arial"/>
        <family val="2"/>
      </rPr>
      <t>Red.Focal o Barlow</t>
    </r>
  </si>
  <si>
    <t>Visual</t>
  </si>
  <si>
    <t>Cambio de hora</t>
  </si>
  <si>
    <t>anotar ( -1 ) en Octubre  y  ( -2 ) en Marzo</t>
  </si>
  <si>
    <t>modificar cada último domingo de Octubre y Marzo desde 1996</t>
  </si>
  <si>
    <t>GRABACIONES PARA CADA VÍDEO Y CANAL</t>
  </si>
  <si>
    <t>Grabación de vídeos por canal en modo   B/N   RGB   L-RGB</t>
  </si>
  <si>
    <t>e</t>
  </si>
  <si>
    <r>
      <rPr>
        <b/>
        <sz val="9"/>
        <color rgb="FF92D050"/>
        <rFont val="Arial"/>
        <family val="2"/>
      </rPr>
      <t>MEJOR</t>
    </r>
    <r>
      <rPr>
        <b/>
        <sz val="9"/>
        <color theme="2"/>
        <rFont val="Arial"/>
        <family val="2"/>
      </rPr>
      <t xml:space="preserve">  </t>
    </r>
    <r>
      <rPr>
        <b/>
        <sz val="9"/>
        <rFont val="Arial"/>
        <family val="2"/>
      </rPr>
      <t xml:space="preserve">  </t>
    </r>
    <r>
      <rPr>
        <b/>
        <sz val="9"/>
        <color rgb="FFFBFE74"/>
        <rFont val="Arial"/>
        <family val="2"/>
      </rPr>
      <t>BUENA</t>
    </r>
    <r>
      <rPr>
        <b/>
        <sz val="9"/>
        <color theme="6" tint="0.39997558519241921"/>
        <rFont val="Arial"/>
        <family val="2"/>
      </rPr>
      <t xml:space="preserve"> </t>
    </r>
    <r>
      <rPr>
        <b/>
        <sz val="9"/>
        <rFont val="Arial"/>
        <family val="2"/>
      </rPr>
      <t xml:space="preserve">   </t>
    </r>
    <r>
      <rPr>
        <b/>
        <sz val="9"/>
        <color theme="9" tint="0.39997558519241921"/>
        <rFont val="Arial"/>
        <family val="2"/>
      </rPr>
      <t>POBRE</t>
    </r>
    <r>
      <rPr>
        <b/>
        <sz val="9"/>
        <color indexed="47"/>
        <rFont val="Arial"/>
        <family val="2"/>
      </rPr>
      <t xml:space="preserve">    </t>
    </r>
    <r>
      <rPr>
        <b/>
        <sz val="9"/>
        <color theme="0" tint="-0.34998626667073579"/>
        <rFont val="Arial"/>
        <family val="2"/>
      </rPr>
      <t>MALA</t>
    </r>
  </si>
  <si>
    <t>Sobre "GRABACIONES PARA CADA VÍDEO Y CANAL"</t>
  </si>
  <si>
    <r>
      <rPr>
        <b/>
        <sz val="8"/>
        <color theme="0"/>
        <rFont val="Arial"/>
        <family val="2"/>
      </rPr>
      <t>La  "RELACIÓN SEÑAL / RUIDO"</t>
    </r>
    <r>
      <rPr>
        <sz val="8"/>
        <color theme="0"/>
        <rFont val="Arial"/>
        <family val="2"/>
      </rPr>
      <t xml:space="preserve">, cuanto más larga la exposición  por unidad de tiempo, más información captará y el ruido del fondo de cielo tiende a fijo..., la distancia entre señal recibida y del ruido, aumentará la relación Señal / Ruido.  Por tanto  </t>
    </r>
    <r>
      <rPr>
        <b/>
        <sz val="8"/>
        <color theme="0"/>
        <rFont val="Arial"/>
        <family val="2"/>
      </rPr>
      <t>"Varias tomas mejor que una".</t>
    </r>
  </si>
  <si>
    <t>que reducirá  ±</t>
  </si>
  <si>
    <r>
      <t>Y algo sobre las</t>
    </r>
    <r>
      <rPr>
        <b/>
        <sz val="8"/>
        <color theme="0"/>
        <rFont val="Arial"/>
        <family val="2"/>
      </rPr>
      <t xml:space="preserve"> "ISO en DSLR":</t>
    </r>
    <r>
      <rPr>
        <sz val="8"/>
        <color theme="0"/>
        <rFont val="Arial"/>
        <family val="2"/>
      </rPr>
      <t xml:space="preserve">   A mayor ISO más ruido y por ende más apilado para poder eliminarlo, y a menor ISO menos ruido, pero mas exposiciones.   </t>
    </r>
    <r>
      <rPr>
        <b/>
        <sz val="8"/>
        <color theme="0"/>
        <rFont val="Arial"/>
        <family val="2"/>
      </rPr>
      <t xml:space="preserve">Una imagen con menor ISO, tiene rango dinámico más "limpio" y mejor detecta objetos débiles.  </t>
    </r>
  </si>
  <si>
    <t>Escala del SEEING ?/10 (p.e. anotar 6,5 y aparece  6,5 /10)</t>
  </si>
  <si>
    <r>
      <t xml:space="preserve">La CONFIGURACIÓN permite obtener una imagen con la relación FWHM / Resolución coloreada como </t>
    </r>
    <r>
      <rPr>
        <b/>
        <sz val="8"/>
        <color rgb="FF00B050"/>
        <rFont val="Arial"/>
        <family val="2"/>
      </rPr>
      <t>MEJOR</t>
    </r>
    <r>
      <rPr>
        <sz val="8"/>
        <color theme="0"/>
        <rFont val="Arial"/>
        <family val="2"/>
      </rPr>
      <t>, siguiendo con menor calidad</t>
    </r>
    <r>
      <rPr>
        <sz val="8"/>
        <color rgb="FFFFFFCC"/>
        <rFont val="Arial"/>
        <family val="2"/>
      </rPr>
      <t xml:space="preserve"> </t>
    </r>
    <r>
      <rPr>
        <b/>
        <sz val="8"/>
        <color rgb="FFFFFF99"/>
        <rFont val="Arial"/>
        <family val="2"/>
      </rPr>
      <t>BUENA</t>
    </r>
    <r>
      <rPr>
        <sz val="8"/>
        <color theme="0"/>
        <rFont val="Arial"/>
        <family val="2"/>
      </rPr>
      <t xml:space="preserve"> y luego</t>
    </r>
    <r>
      <rPr>
        <sz val="8"/>
        <color theme="2"/>
        <rFont val="Arial"/>
        <family val="2"/>
      </rPr>
      <t xml:space="preserve"> como </t>
    </r>
    <r>
      <rPr>
        <b/>
        <sz val="8"/>
        <color theme="2" tint="-9.9978637043366805E-2"/>
        <rFont val="Arial"/>
        <family val="2"/>
      </rPr>
      <t>POBRE</t>
    </r>
    <r>
      <rPr>
        <sz val="8"/>
        <color theme="0"/>
        <rFont val="Arial"/>
        <family val="2"/>
      </rPr>
      <t>,</t>
    </r>
    <r>
      <rPr>
        <b/>
        <sz val="8"/>
        <color theme="0"/>
        <rFont val="Arial"/>
        <family val="2"/>
      </rPr>
      <t xml:space="preserve"> es decir tendiendo a ± 3,5 veces como óptima y una resolución &lt; ± 0,5 ''arc / px en Planetaria y  ± 2,5 ''arc / px en DEEP SKY. </t>
    </r>
    <r>
      <rPr>
        <sz val="8"/>
        <color theme="0"/>
        <rFont val="Arial"/>
        <family val="2"/>
      </rPr>
      <t xml:space="preserve">  El F.O.V. en  "Foco Primario" o "Proyección de Ocular", indica si el Objeto "ENTRARÁ en la CCD", o si "se VERÁ PARCIALMENTE".</t>
    </r>
  </si>
  <si>
    <t>DURARÁ en TOTAL la GRABACIÓN</t>
  </si>
  <si>
    <t>que equivale a</t>
  </si>
  <si>
    <t>=</t>
  </si>
  <si>
    <t xml:space="preserve">  IR / CUT</t>
  </si>
  <si>
    <r>
      <rPr>
        <b/>
        <sz val="8"/>
        <color theme="0"/>
        <rFont val="Arial"/>
        <family val="2"/>
      </rPr>
      <t>PODER RESOLUTIVO</t>
    </r>
    <r>
      <rPr>
        <sz val="8"/>
        <color theme="0"/>
        <rFont val="Arial"/>
        <family val="2"/>
      </rPr>
      <t xml:space="preserve">:   El Rayleigh (plate scale)  indica depender del píxel y cuanto más pequeño más definición y de la DF para obtener la imagen.   </t>
    </r>
    <r>
      <rPr>
        <b/>
        <sz val="8"/>
        <color theme="0"/>
        <rFont val="Arial"/>
        <family val="2"/>
      </rPr>
      <t>Para calcular la resolución, en un 8'' Ø es llegar a  ± 2,5 ''arc / px  para Deep Sky  y hasta  ± 0,5 ''arc / px  en Planetarias.</t>
    </r>
    <r>
      <rPr>
        <sz val="8"/>
        <color theme="0"/>
        <rFont val="Arial"/>
        <family val="2"/>
      </rPr>
      <t xml:space="preserve">   Con Seeing en su FWHM a máximo  (en modo Foco Primario y a  ± 7,5 / 10), de  ± 4,0 "arc²  siendo este valor, el común para Telescopios de aficionado con 8'' Ø en lugares aceptables para observación.  </t>
    </r>
    <r>
      <rPr>
        <b/>
        <sz val="8"/>
        <color theme="0"/>
        <rFont val="Arial"/>
        <family val="2"/>
      </rPr>
      <t xml:space="preserve"> Y cuanto mayor el Ø del objetivo, el impacto del FWHM será menor</t>
    </r>
    <r>
      <rPr>
        <sz val="8"/>
        <color theme="0"/>
        <rFont val="Arial"/>
        <family val="2"/>
      </rPr>
      <t>, permitiéndonos grabar más detalles.</t>
    </r>
  </si>
  <si>
    <r>
      <rPr>
        <b/>
        <sz val="8"/>
        <color theme="0"/>
        <rFont val="Arial"/>
        <family val="2"/>
      </rPr>
      <t>SOBRE DURACIÓN DE CADA TOMA:</t>
    </r>
    <r>
      <rPr>
        <sz val="8"/>
        <color theme="0"/>
        <rFont val="Arial"/>
        <family val="2"/>
      </rPr>
      <t xml:space="preserve">    </t>
    </r>
    <r>
      <rPr>
        <b/>
        <sz val="8"/>
        <color theme="0"/>
        <rFont val="Arial"/>
        <family val="2"/>
      </rPr>
      <t xml:space="preserve">Con las DSLR y para DEEP SKY </t>
    </r>
    <r>
      <rPr>
        <sz val="8"/>
        <color theme="0"/>
        <rFont val="Arial"/>
        <family val="2"/>
      </rPr>
      <t xml:space="preserve">es mejor 10 tomas de 600 seg c/u, que una de 6000 seg... porque tendería a saturarse y mejor que 100 de 60 seg c/u, ya que en este caso sería apilado de 100 imágenes con poca relación Señal / Ruido.....   Pero </t>
    </r>
    <r>
      <rPr>
        <b/>
        <sz val="8"/>
        <color theme="0"/>
        <rFont val="Arial"/>
        <family val="2"/>
      </rPr>
      <t>para imágenes de la LUNA</t>
    </r>
    <r>
      <rPr>
        <sz val="8"/>
        <color theme="0"/>
        <rFont val="Arial"/>
        <family val="2"/>
      </rPr>
      <t xml:space="preserve"> es otra cuestión dada su luminosidad.  -   RESUMEN  cuanta menos “suciedad” mezclemos, mejor resultado conseguiremos y con los software..., máximos detalles conseguiremos.</t>
    </r>
  </si>
  <si>
    <t>Para actualizar valores, pulsar función &gt; F9</t>
  </si>
  <si>
    <r>
      <t xml:space="preserve">EJEMPLO:  Grabaremos en RGB una imagen de Júpiter con SCT C8'', barlow x2 y cámara ASI120MM-S. -  Al ser planeta, que gira rápido y que no salgan movidas las tomas, las grabaré a ± 8 seg c/u. -  Esta Tabla_01  indica grabar 6 vídeos en canal R, 4 en G y 7 en B.    -     </t>
    </r>
    <r>
      <rPr>
        <b/>
        <sz val="8"/>
        <color theme="0"/>
        <rFont val="Arial"/>
        <family val="2"/>
      </rPr>
      <t>OBTENIDO:   6 v (R) de 8 s/cu + 4 v (G) de 8 s/cu + 7 v (B) de 8 s/cu = 136 seg</t>
    </r>
    <r>
      <rPr>
        <sz val="8"/>
        <color theme="0"/>
        <rFont val="Arial"/>
        <family val="2"/>
      </rPr>
      <t>.= 2 min 16 seg</t>
    </r>
  </si>
  <si>
    <t>CONFIGURACIÓN DE LA HORA  "UTC"  AL INICIAR UNA SESIÓN DE OBSERVACIÓN, (En lugar de las clásicas  -1h  ó  -2h  para mayor precisión)</t>
  </si>
  <si>
    <t>df en PO</t>
  </si>
  <si>
    <r>
      <t xml:space="preserve">Para </t>
    </r>
    <r>
      <rPr>
        <b/>
        <sz val="8"/>
        <color indexed="13"/>
        <rFont val="Arial"/>
        <family val="2"/>
      </rPr>
      <t xml:space="preserve">Observaciones Solares, </t>
    </r>
    <r>
      <rPr>
        <b/>
        <sz val="8"/>
        <color indexed="9"/>
        <rFont val="Arial"/>
        <family val="2"/>
      </rPr>
      <t xml:space="preserve">p.e. sus  Manchas "Sunspots", con magnitud visual del Sol </t>
    </r>
  </si>
  <si>
    <r>
      <t xml:space="preserve">En el  Buscador el filtro tipo  </t>
    </r>
    <r>
      <rPr>
        <b/>
        <sz val="8"/>
        <color indexed="13"/>
        <rFont val="Arial"/>
        <family val="2"/>
      </rPr>
      <t xml:space="preserve">DN 5 </t>
    </r>
    <r>
      <rPr>
        <b/>
        <sz val="8"/>
        <color theme="0"/>
        <rFont val="Arial"/>
        <family val="2"/>
      </rPr>
      <t xml:space="preserve"> y en el del Telescopio el</t>
    </r>
    <r>
      <rPr>
        <b/>
        <sz val="8"/>
        <color indexed="9"/>
        <rFont val="Arial"/>
        <family val="2"/>
      </rPr>
      <t xml:space="preserve"> filtro</t>
    </r>
  </si>
  <si>
    <r>
      <t xml:space="preserve">Anteponer un  "Filtro / Solar"  </t>
    </r>
    <r>
      <rPr>
        <b/>
        <sz val="8"/>
        <color indexed="9"/>
        <rFont val="Arial"/>
        <family val="2"/>
      </rPr>
      <t>en cada uno, en el objetivo del Buscador y en el del Telescopio</t>
    </r>
  </si>
  <si>
    <t xml:space="preserve">"  VENUS "   </t>
  </si>
  <si>
    <t>VENUS</t>
  </si>
  <si>
    <t>MARTE</t>
  </si>
  <si>
    <t>" MARTE "</t>
  </si>
  <si>
    <t>-243 d  retrógrada</t>
  </si>
  <si>
    <t>ANOTAR en "TABLA_01":  SATURNO,    JÚPITER,    LUNA,    SUNSPOTS (Manchas en SOL),  MARTE,  VENUS,   o   CIELO PROFUNDO</t>
  </si>
  <si>
    <t>*   OBJETOS SELECCIONADOS, PARA CONFIGURAR LA  TABLA_01</t>
  </si>
  <si>
    <r>
      <t xml:space="preserve">" SUNSPOTS "  Manchas en el SOL </t>
    </r>
    <r>
      <rPr>
        <b/>
        <sz val="14"/>
        <color indexed="8"/>
        <rFont val="Arial"/>
        <family val="2"/>
      </rPr>
      <t xml:space="preserve"> </t>
    </r>
  </si>
  <si>
    <r>
      <rPr>
        <b/>
        <sz val="8"/>
        <color theme="0"/>
        <rFont val="Arial"/>
        <family val="2"/>
      </rPr>
      <t>IMÁGENES del SOL</t>
    </r>
    <r>
      <rPr>
        <sz val="8"/>
        <color theme="0"/>
        <rFont val="Arial"/>
        <family val="2"/>
      </rPr>
      <t xml:space="preserve"> -</t>
    </r>
    <r>
      <rPr>
        <b/>
        <sz val="8"/>
        <color theme="0"/>
        <rFont val="Arial"/>
        <family val="2"/>
      </rPr>
      <t xml:space="preserve"> "SUNSPOTS" s</t>
    </r>
    <r>
      <rPr>
        <sz val="8"/>
        <color theme="0"/>
        <rFont val="Arial"/>
        <family val="2"/>
      </rPr>
      <t>ituar un Filtro / Solar con ref: DN 5 que reduce luminosidad ± 100.000 veces en objetivo del Buscador.    Y para el objetivo del Telescopio en modo CCD, situar el filtro de ref. DN 3,8  que reduce ± 6.309 veces.</t>
    </r>
  </si>
  <si>
    <t>Mi "Longitud E / W" al GMT</t>
  </si>
  <si>
    <t>*   OBJETOS DEL CIELO PROFUNDO " DEEP SKY "</t>
  </si>
  <si>
    <t xml:space="preserve"> Luego anotar en TABLA_01 simplemente VENUS</t>
  </si>
  <si>
    <t xml:space="preserve"> Luego anotar en TABLA_01 simplemente MARTE</t>
  </si>
  <si>
    <t>mv</t>
  </si>
  <si>
    <t>fecha</t>
  </si>
  <si>
    <t>" OTRO "</t>
  </si>
  <si>
    <t>dura el día   h:m</t>
  </si>
  <si>
    <t>nombrar objeto</t>
  </si>
  <si>
    <t>*  OTRO OBJETO NO INCLUIDO EN ANTERIORES</t>
  </si>
  <si>
    <t>Programarlo en la hoja  "CONFIG."</t>
  </si>
  <si>
    <t>OBJETO a observar y grabar</t>
  </si>
  <si>
    <t>Campo visión con Ocular</t>
  </si>
  <si>
    <t>M41  -  Messier</t>
  </si>
  <si>
    <t>Tipo unidad</t>
  </si>
  <si>
    <t>Gibosa menguante</t>
  </si>
  <si>
    <r>
      <t>DF</t>
    </r>
    <r>
      <rPr>
        <sz val="10"/>
        <color rgb="FFFFC000"/>
        <rFont val="Verdana"/>
        <family val="2"/>
      </rPr>
      <t xml:space="preserve">  </t>
    </r>
  </si>
  <si>
    <t>VESTA asteroide</t>
  </si>
  <si>
    <t xml:space="preserve">Ø  </t>
  </si>
  <si>
    <t xml:space="preserve">Barlow </t>
  </si>
  <si>
    <t>fp</t>
  </si>
  <si>
    <t>OPERATIVA:  Sustituir aportes en azul, para situar las "básicas del Telescopio", "especificaciones de CCD" y para "Objeto a observar"</t>
  </si>
  <si>
    <t>PLANETAS:</t>
  </si>
  <si>
    <t>Última actualización 24/06/2026</t>
  </si>
  <si>
    <t xml:space="preserve">obtener en la hoja "CONFIG", la  mv, Ø escalado, distancia a Tierra, etc., para: OTRO, cada PLANETA, LUNA, SUNSPOT, o DEEP SKY en </t>
  </si>
  <si>
    <r>
      <t xml:space="preserve">MODO VISIÓN ORIGINAL  </t>
    </r>
    <r>
      <rPr>
        <b/>
        <sz val="9"/>
        <color rgb="FFFFFFFF"/>
        <rFont val="Arial"/>
        <family val="2"/>
      </rPr>
      <t xml:space="preserve"> (sustituir valores en </t>
    </r>
    <r>
      <rPr>
        <b/>
        <sz val="9"/>
        <color rgb="FF0228E4"/>
        <rFont val="Arial"/>
        <family val="2"/>
      </rPr>
      <t>azul</t>
    </r>
    <r>
      <rPr>
        <b/>
        <sz val="9"/>
        <color rgb="FFFFFFFF"/>
        <rFont val="Arial"/>
        <family val="2"/>
      </rPr>
      <t>)</t>
    </r>
  </si>
  <si>
    <r>
      <rPr>
        <b/>
        <sz val="8"/>
        <color rgb="FFFFFFFF"/>
        <rFont val="Arial"/>
        <family val="2"/>
      </rPr>
      <t xml:space="preserve">OCUPARÁ en la CCD: </t>
    </r>
    <r>
      <rPr>
        <sz val="8"/>
        <color indexed="9"/>
        <rFont val="Arial"/>
        <family val="2"/>
      </rPr>
      <t xml:space="preserve">  La imagen final a obtener, debería ocupar lo mismo que el Ø del chip de la CCD, es decir si la imagen es menor en  'arc  que el tamaño del chip, ocupará la imagen un % respecto a la superficie del chip y si el tamaño aparente del Objeto es mayor que el sensor de la CCD, se verá recortada en un %,  EJEMPLO:  Ocupa  615,3% indica verse ± 1/6 del total.</t>
    </r>
  </si>
  <si>
    <t>AR2585</t>
  </si>
  <si>
    <t>asi120mm-s</t>
  </si>
  <si>
    <t>OCU</t>
  </si>
  <si>
    <t>sunspots</t>
  </si>
  <si>
    <t>b/n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</si>
</sst>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0">
    <numFmt numFmtId="164" formatCode="_-* #,##0.00\ _p_t_a_-;\-* #,##0.00\ _p_t_a_-;_-* &quot;-&quot;??\ _p_t_a_-;_-@_-"/>
    <numFmt numFmtId="165" formatCode="0.0\ &quot;Xeq&quot;"/>
    <numFmt numFmtId="166" formatCode="00.00"/>
    <numFmt numFmtId="167" formatCode="0000"/>
    <numFmt numFmtId="168" formatCode="0.0\ &quot;mm&quot;"/>
    <numFmt numFmtId="169" formatCode="0.0&quot;º&quot;"/>
    <numFmt numFmtId="170" formatCode="#,##0.0"/>
    <numFmt numFmtId="171" formatCode="#.00\ &quot;µm&quot;"/>
    <numFmt numFmtId="172" formatCode="#,##0.0_ ;[Red]\-#,##0.0\ "/>
    <numFmt numFmtId="173" formatCode="0.00\ &quot;mm&quot;"/>
    <numFmt numFmtId="174" formatCode="0.0"/>
    <numFmt numFmtId="175" formatCode="00"/>
    <numFmt numFmtId="176" formatCode="0.0\ &quot;Mp&quot;"/>
    <numFmt numFmtId="177" formatCode="#0.0\ &quot;min&quot;"/>
    <numFmt numFmtId="178" formatCode="#,##0.0\ &quot;mm&quot;"/>
    <numFmt numFmtId="179" formatCode="#,##0.000000"/>
    <numFmt numFmtId="180" formatCode="0.0&quot;'&quot;"/>
    <numFmt numFmtId="181" formatCode="#,###.##\ &quot;arc.seg.&quot;"/>
    <numFmt numFmtId="182" formatCode="#,##0_ ;[Red]\-#,##0\ "/>
    <numFmt numFmtId="183" formatCode="0.0000"/>
    <numFmt numFmtId="184" formatCode="0.0\ &quot;s.arc&quot;"/>
    <numFmt numFmtId="185" formatCode="0.000000"/>
    <numFmt numFmtId="186" formatCode="0.00\ &quot;''arc&quot;"/>
    <numFmt numFmtId="187" formatCode="0.00\ &quot;veces&quot;"/>
    <numFmt numFmtId="188" formatCode="0\ &quot;ms&quot;"/>
    <numFmt numFmtId="189" formatCode="&quot;Repetir proceso&quot;\ \ 0\ \ &quot;veces&quot;"/>
    <numFmt numFmtId="190" formatCode="0\ &quot;m c/u&quot;"/>
    <numFmt numFmtId="191" formatCode="00_ ;[Red]\-00\ "/>
    <numFmt numFmtId="192" formatCode="&quot;UR&quot;\ dd/mm/yyyy"/>
    <numFmt numFmtId="193" formatCode="dd/mm"/>
    <numFmt numFmtId="194" formatCode="0.0\ &quot;º&quot;"/>
    <numFmt numFmtId="195" formatCode="0.00\ &quot;arc.seg. Ø&quot;"/>
    <numFmt numFmtId="196" formatCode="0.00\ &quot;'arc&quot;"/>
    <numFmt numFmtId="197" formatCode="0\ &quot;s&quot;"/>
    <numFmt numFmtId="198" formatCode="&quot;DN&quot;\ 0.0"/>
    <numFmt numFmtId="199" formatCode="0.00\ &quot;''arc / px&quot;"/>
    <numFmt numFmtId="200" formatCode="###,###,###\ &quot;Km&quot;"/>
    <numFmt numFmtId="201" formatCode="0.00\ &quot;/ 10&quot;;[Red]\-0.00\ &quot;/ 10&quot;"/>
    <numFmt numFmtId="202" formatCode="0.00\ &quot;'arc H&quot;"/>
    <numFmt numFmtId="203" formatCode="dd\ /\ mm\ /\ yyyy"/>
    <numFmt numFmtId="204" formatCode="&quot;±&quot;\ 0\ &quot;veces&quot;"/>
    <numFmt numFmtId="205" formatCode="0.0000000"/>
    <numFmt numFmtId="206" formatCode="#,##0.0\ &quot;X.eq&quot;"/>
    <numFmt numFmtId="207" formatCode="#,##0\ &quot;px H&quot;"/>
    <numFmt numFmtId="208" formatCode="#,##0\ &quot;px V&quot;"/>
    <numFmt numFmtId="209" formatCode="#,##0.00\ &quot;m&quot;"/>
    <numFmt numFmtId="210" formatCode="0.00\ &quot;''arc H&quot;"/>
    <numFmt numFmtId="211" formatCode="0,000.0\ &quot;Km&quot;"/>
    <numFmt numFmtId="212" formatCode="###,###,###.0\ &quot;Km&quot;"/>
    <numFmt numFmtId="213" formatCode="#,##0.00\ &quot;mv&quot;\ ;[Red]\-#,##0.00\ &quot;mv&quot;\ "/>
    <numFmt numFmtId="214" formatCode="#,##0\ &quot;€&quot;;[Red]\-#,##0\ &quot;€&quot;\ &quot;mv&quot;"/>
    <numFmt numFmtId="215" formatCode="0.00\ &quot;''arc V&quot;"/>
    <numFmt numFmtId="216" formatCode="&quot;=&quot;\ \ ###,###,###,###\ &quot;Km&quot;"/>
    <numFmt numFmtId="217" formatCode="#,##0.0000000"/>
    <numFmt numFmtId="218" formatCode="&quot;factor&quot;\ 0.000000"/>
    <numFmt numFmtId="219" formatCode="0.0000\ &quot;UA&quot;"/>
    <numFmt numFmtId="220" formatCode="&quot;Lunación&quot;\ ##.00\ &quot;d&quot;"/>
    <numFmt numFmtId="221" formatCode="#,##0.0000\ &quot;UA&quot;"/>
    <numFmt numFmtId="222" formatCode="#,##0.00000000\ &quot;UA&quot;"/>
    <numFmt numFmtId="223" formatCode="00\ &quot;m&quot;"/>
    <numFmt numFmtId="224" formatCode="\ 0.000\ &quot;m H&quot;"/>
    <numFmt numFmtId="225" formatCode="0.000\ &quot;m V&quot;"/>
    <numFmt numFmtId="226" formatCode="&quot;±&quot;\ #,##0.0\ &quot;Km&quot;"/>
    <numFmt numFmtId="227" formatCode="#,##0.0\ &quot;mv&quot;\ ;[Red]\-#,##0.0\ &quot;mv&quot;\ "/>
    <numFmt numFmtId="228" formatCode="#\ &quot;fps&quot;"/>
    <numFmt numFmtId="229" formatCode="00.00\ &quot;'arc Ø&quot;"/>
    <numFmt numFmtId="230" formatCode="\ #,###,##0\ &quot;Km H&quot;"/>
    <numFmt numFmtId="231" formatCode="#,###,##0.000\ &quot;Km&quot;"/>
    <numFmt numFmtId="232" formatCode="\ 0\ &quot;h&quot;"/>
    <numFmt numFmtId="233" formatCode="&quot;con ±&quot;\ 0.0\ &quot;mm Ø&quot;"/>
    <numFmt numFmtId="234" formatCode="0.00\ &quot;''arc  Ø apar.&quot;"/>
    <numFmt numFmtId="235" formatCode="0.000\ &quot;AL&quot;"/>
    <numFmt numFmtId="236" formatCode="0.000\ &quot;''arc H&quot;"/>
    <numFmt numFmtId="237" formatCode="#,##0.00\ &quot;mm&quot;"/>
    <numFmt numFmtId="238" formatCode="0.000\ &quot;m H  (Ø SOL)&quot;"/>
    <numFmt numFmtId="239" formatCode="0\ &quot;h&quot;"/>
    <numFmt numFmtId="240" formatCode="0.00&quot;%&quot;"/>
    <numFmt numFmtId="241" formatCode="00&quot;'&quot;"/>
    <numFmt numFmtId="242" formatCode="00.00&quot;''&quot;"/>
    <numFmt numFmtId="243" formatCode="00&quot;º&quot;"/>
    <numFmt numFmtId="244" formatCode="0.00\ &quot;'arc Ø&quot;"/>
    <numFmt numFmtId="245" formatCode="0.00\ &quot;mv&quot;"/>
    <numFmt numFmtId="246" formatCode="&quot;±&quot;\ #,###.0\ &quot;Km&quot;"/>
    <numFmt numFmtId="247" formatCode="0.00000&quot;º escalado&quot;"/>
    <numFmt numFmtId="248" formatCode="[$-F400]h:mm:ss\ AM/PM"/>
    <numFmt numFmtId="249" formatCode="0.00000\ &quot;º Ø c/anillos&quot;"/>
    <numFmt numFmtId="250" formatCode="0.00000\ &quot;º Ø escalado&quot;"/>
    <numFmt numFmtId="251" formatCode="#,###\ &quot;f en&quot;"/>
    <numFmt numFmtId="252" formatCode="#,###\ &quot;s&quot;"/>
    <numFmt numFmtId="253" formatCode="&quot;Fase&quot;\ 0.0\º"/>
    <numFmt numFmtId="254" formatCode="0.00\ &quot;''arc Ø apar.&quot;"/>
    <numFmt numFmtId="255" formatCode="0.000\ &quot;'arc Ø&quot;"/>
    <numFmt numFmtId="256" formatCode="#,##0.00000\ &quot;UA&quot;"/>
    <numFmt numFmtId="257" formatCode="&quot;H&quot;\ 0.00&quot;''&quot;"/>
    <numFmt numFmtId="258" formatCode="&quot;V&quot;\ 0.00&quot;''&quot;"/>
    <numFmt numFmtId="259" formatCode="#,##0.00\ &quot;''arc²&quot;"/>
    <numFmt numFmtId="260" formatCode="0.0\ \º&quot;alto&quot;"/>
    <numFmt numFmtId="261" formatCode="0.0\ \º&quot;ancho&quot;"/>
    <numFmt numFmtId="262" formatCode="&quot;Fase&quot;\ 0.0\ \º"/>
    <numFmt numFmtId="263" formatCode="&quot;±&quot;\ 0.00\ &quot;'arc H&quot;"/>
    <numFmt numFmtId="264" formatCode="&quot;±&quot;\ 0.00\ &quot;'arc V&quot;"/>
    <numFmt numFmtId="265" formatCode="&quot;±&quot;\ 0.00\ &quot;''arc Ø.&quot;"/>
    <numFmt numFmtId="266" formatCode="#,###.00\ &quot;aL&quot;"/>
    <numFmt numFmtId="267" formatCode="&quot;±&quot;\ 0.00\ &quot;ºarc Ø H.&quot;"/>
    <numFmt numFmtId="268" formatCode="&quot;±&quot;\ 0.00\ &quot;ºarc Ø V.&quot;"/>
    <numFmt numFmtId="269" formatCode="0.00\ &quot;''arc/mm&quot;"/>
    <numFmt numFmtId="270" formatCode="00.0000"/>
    <numFmt numFmtId="271" formatCode="00.0000_ ;[Red]\-00.0000\ "/>
    <numFmt numFmtId="272" formatCode="\ &quot;Dist&quot;\ \ 0.00000\ &quot;m&quot;"/>
    <numFmt numFmtId="273" formatCode="&quot;&lt;--&gt;&quot;\ \ \ \ 0.000\ &quot;m&quot;"/>
    <numFmt numFmtId="274" formatCode="0.0\ &quot;''arc   ( rad. a ''arc )&quot;"/>
    <numFmt numFmtId="275" formatCode="0.0\ &quot;mm df&quot;"/>
    <numFmt numFmtId="276" formatCode="0.0\ &quot;/ 10&quot;;[Red]\-0.0\ &quot;/ 10&quot;"/>
    <numFmt numFmtId="277" formatCode="0.0%"/>
    <numFmt numFmtId="278" formatCode="#,##0.00\ &quot;mm H&quot;"/>
    <numFmt numFmtId="279" formatCode="#,##0.00\ &quot;mm V&quot;"/>
    <numFmt numFmtId="280" formatCode="0.00000&quot;º Ø esc&quot;"/>
    <numFmt numFmtId="281" formatCode="0&quot;m&quot;"/>
    <numFmt numFmtId="282" formatCode="#.00&quot;''&quot;"/>
    <numFmt numFmtId="283" formatCode="&quot;Ilumin.&quot;\ #.0\ &quot;%&quot;\ "/>
    <numFmt numFmtId="284" formatCode="0.00000&quot;º&quot;"/>
    <numFmt numFmtId="285" formatCode="0.00\ &quot;v&quot;"/>
    <numFmt numFmtId="286" formatCode="0.00\ &quot;s&quot;"/>
    <numFmt numFmtId="287" formatCode="0.0\ &quot;mm a CCD&quot;"/>
    <numFmt numFmtId="288" formatCode="&quot; ±&quot;\ #,###.00\ &quot;Km&quot;"/>
    <numFmt numFmtId="289" formatCode="&quot;±&quot;\ 0\ &quot;s&quot;"/>
    <numFmt numFmtId="290" formatCode="&quot;±&quot;\ 0.00\ &quot;'arc Ø.&quot;"/>
    <numFmt numFmtId="291" formatCode="0\ &quot;fps&quot;"/>
    <numFmt numFmtId="292" formatCode="&quot;por&quot;\ ###,###,##0.00\ &quot;Km / UA   =&quot;"/>
    <numFmt numFmtId="293" formatCode="00.0&quot;''&quot;"/>
    <numFmt numFmtId="294" formatCode="\ 0\ &quot;v / canal&quot;"/>
    <numFmt numFmtId="295" formatCode="&quot;±&quot;\ 0.0\ &quot;% Ø&quot;"/>
    <numFmt numFmtId="296" formatCode="0.000"/>
    <numFmt numFmtId="297" formatCode="\ 0.000\ &quot;v / canal&quot;"/>
    <numFmt numFmtId="298" formatCode="0.00\ &quot;%&quot;"/>
    <numFmt numFmtId="299" formatCode="#\ &quot;v / G&quot;"/>
    <numFmt numFmtId="300" formatCode="#\ &quot;v / B&quot;"/>
    <numFmt numFmtId="301" formatCode="#\ &quot;v / R&quot;"/>
    <numFmt numFmtId="302" formatCode="#\ &quot;v / L&quot;"/>
    <numFmt numFmtId="303" formatCode="&quot;a&quot;\ 0\ &quot;fps/cv&quot;"/>
    <numFmt numFmtId="304" formatCode="&quot;de&quot;\ #\ &quot;s/cv&quot;"/>
    <numFmt numFmtId="305" formatCode="&quot;Ø por&quot;\ 0.0"/>
    <numFmt numFmtId="306" formatCode="0.00&quot;''&quot;"/>
    <numFmt numFmtId="307" formatCode="[$-C0A]d\-mmm;@"/>
    <numFmt numFmtId="308" formatCode="0\ &quot;m&quot;"/>
    <numFmt numFmtId="309" formatCode="0.00000\ &quot;h&quot;"/>
    <numFmt numFmtId="310" formatCode="&quot;AR&quot;0000"/>
    <numFmt numFmtId="311" formatCode="0.00\ &quot;h&quot;"/>
    <numFmt numFmtId="312" formatCode="&quot;a&quot;\ \ 0.00"/>
    <numFmt numFmtId="313" formatCode="&quot;Lunación&quot;\ 0.0&quot; días&quot;"/>
    <numFmt numFmtId="314" formatCode="&quot;±&quot;\ 0.00000\ &quot;ºarc Ø V.&quot;"/>
    <numFmt numFmtId="315" formatCode="&quot;±&quot;\ 0.00000\ &quot;ºarc Ø H.&quot;"/>
    <numFmt numFmtId="316" formatCode="#,##0.0000"/>
    <numFmt numFmtId="317" formatCode="&quot;±&quot;\ 0.000000\ &quot;''arc Ø.&quot;"/>
    <numFmt numFmtId="318" formatCode="&quot;±&quot;\ 0.00000000\ &quot;'arc H&quot;"/>
    <numFmt numFmtId="319" formatCode="0.00\ &quot;mv&quot;;[Red]\-0.00\ &quot;mv&quot;"/>
    <numFmt numFmtId="320" formatCode="&quot;oscurece ±&quot;\ 00\ &quot;%&quot;"/>
    <numFmt numFmtId="321" formatCode="&quot; ±&quot;\ 0.00\ &quot;mm&quot;"/>
    <numFmt numFmtId="322" formatCode="&quot;ocupa 1 /&quot;\ #\ &quot;del total&quot;"/>
    <numFmt numFmtId="323" formatCode="\ 0.0\ "/>
  </numFmts>
  <fonts count="194">
    <font>
      <sz val="12"/>
      <name val="Arial"/>
    </font>
    <font>
      <sz val="12"/>
      <name val="Arial"/>
      <family val="2"/>
    </font>
    <font>
      <u/>
      <sz val="12"/>
      <color indexed="12"/>
      <name val="Arial"/>
      <family val="2"/>
    </font>
    <font>
      <b/>
      <sz val="11"/>
      <color indexed="62"/>
      <name val="Arial Narrow"/>
      <family val="2"/>
    </font>
    <font>
      <sz val="14"/>
      <name val="Arial"/>
      <family val="2"/>
    </font>
    <font>
      <b/>
      <sz val="14"/>
      <color indexed="9"/>
      <name val="Arial"/>
      <family val="2"/>
    </font>
    <font>
      <sz val="10"/>
      <name val="Arial"/>
      <family val="2"/>
    </font>
    <font>
      <b/>
      <sz val="10"/>
      <name val="Arial"/>
      <family val="2"/>
    </font>
    <font>
      <b/>
      <sz val="11"/>
      <color indexed="12"/>
      <name val="Arial"/>
      <family val="2"/>
    </font>
    <font>
      <b/>
      <sz val="11"/>
      <name val="Arial"/>
      <family val="2"/>
    </font>
    <font>
      <sz val="11"/>
      <name val="Arial"/>
      <family val="2"/>
    </font>
    <font>
      <b/>
      <sz val="11"/>
      <color indexed="9"/>
      <name val="Arial"/>
      <family val="2"/>
    </font>
    <font>
      <b/>
      <sz val="10"/>
      <color indexed="16"/>
      <name val="Arial"/>
      <family val="2"/>
    </font>
    <font>
      <sz val="11"/>
      <color indexed="9"/>
      <name val="Arial"/>
      <family val="2"/>
    </font>
    <font>
      <b/>
      <sz val="11"/>
      <color indexed="8"/>
      <name val="Arial"/>
      <family val="2"/>
    </font>
    <font>
      <b/>
      <sz val="8"/>
      <color indexed="9"/>
      <name val="Arial"/>
      <family val="2"/>
    </font>
    <font>
      <b/>
      <sz val="11"/>
      <color indexed="22"/>
      <name val="Arial"/>
      <family val="2"/>
    </font>
    <font>
      <sz val="11"/>
      <color indexed="23"/>
      <name val="Arial"/>
      <family val="2"/>
    </font>
    <font>
      <b/>
      <i/>
      <sz val="14"/>
      <color indexed="9"/>
      <name val="Arial"/>
      <family val="2"/>
    </font>
    <font>
      <i/>
      <sz val="14"/>
      <color indexed="9"/>
      <name val="Arial"/>
      <family val="2"/>
    </font>
    <font>
      <sz val="8"/>
      <name val="Arial"/>
      <family val="2"/>
    </font>
    <font>
      <b/>
      <sz val="11"/>
      <color indexed="16"/>
      <name val="Arial"/>
      <family val="2"/>
    </font>
    <font>
      <sz val="11"/>
      <color indexed="8"/>
      <name val="Arial"/>
      <family val="2"/>
    </font>
    <font>
      <b/>
      <sz val="14"/>
      <color indexed="8"/>
      <name val="Arial"/>
      <family val="2"/>
    </font>
    <font>
      <b/>
      <sz val="12"/>
      <color indexed="8"/>
      <name val="Arial"/>
      <family val="2"/>
    </font>
    <font>
      <sz val="12"/>
      <color indexed="8"/>
      <name val="Arial"/>
      <family val="2"/>
    </font>
    <font>
      <sz val="11"/>
      <name val="Symbol"/>
      <family val="1"/>
      <charset val="2"/>
    </font>
    <font>
      <sz val="9"/>
      <color indexed="8"/>
      <name val="Arial"/>
      <family val="2"/>
    </font>
    <font>
      <b/>
      <sz val="16"/>
      <color indexed="18"/>
      <name val="Verdana"/>
      <family val="2"/>
    </font>
    <font>
      <sz val="16"/>
      <color indexed="18"/>
      <name val="Verdana"/>
      <family val="2"/>
    </font>
    <font>
      <b/>
      <sz val="20"/>
      <color indexed="18"/>
      <name val="Verdana"/>
      <family val="2"/>
    </font>
    <font>
      <sz val="20"/>
      <name val="Verdana"/>
      <family val="2"/>
    </font>
    <font>
      <b/>
      <sz val="11"/>
      <color theme="1"/>
      <name val="Calibri"/>
      <family val="2"/>
      <scheme val="minor"/>
    </font>
    <font>
      <b/>
      <sz val="11"/>
      <color rgb="FF202020"/>
      <name val="Arial"/>
      <family val="2"/>
    </font>
    <font>
      <b/>
      <sz val="11"/>
      <color indexed="8"/>
      <name val="Calibri"/>
      <family val="2"/>
      <scheme val="minor"/>
    </font>
    <font>
      <b/>
      <sz val="11"/>
      <color indexed="12"/>
      <name val="Calibri"/>
      <family val="2"/>
      <scheme val="minor"/>
    </font>
    <font>
      <sz val="11"/>
      <name val="Calibri"/>
      <family val="2"/>
      <scheme val="minor"/>
    </font>
    <font>
      <b/>
      <sz val="11"/>
      <color indexed="16"/>
      <name val="Calibri"/>
      <family val="2"/>
      <scheme val="minor"/>
    </font>
    <font>
      <sz val="11"/>
      <color indexed="8"/>
      <name val="Calibri"/>
      <family val="2"/>
      <scheme val="minor"/>
    </font>
    <font>
      <u/>
      <sz val="11"/>
      <color indexed="12"/>
      <name val="Calibri"/>
      <family val="2"/>
      <scheme val="minor"/>
    </font>
    <font>
      <sz val="12"/>
      <name val="Calibri"/>
      <family val="2"/>
      <scheme val="minor"/>
    </font>
    <font>
      <b/>
      <sz val="10"/>
      <name val="Calibri"/>
      <family val="2"/>
      <scheme val="minor"/>
    </font>
    <font>
      <b/>
      <sz val="11"/>
      <color theme="5" tint="-0.249977111117893"/>
      <name val="Calibri"/>
      <family val="2"/>
      <scheme val="minor"/>
    </font>
    <font>
      <b/>
      <sz val="10"/>
      <color theme="1"/>
      <name val="Arial"/>
      <family val="2"/>
    </font>
    <font>
      <b/>
      <sz val="10"/>
      <color indexed="12"/>
      <name val="Arial"/>
      <family val="2"/>
    </font>
    <font>
      <b/>
      <sz val="10"/>
      <color indexed="8"/>
      <name val="Arial"/>
      <family val="2"/>
    </font>
    <font>
      <b/>
      <sz val="10"/>
      <color rgb="FF0000C4"/>
      <name val="Arial"/>
      <family val="2"/>
    </font>
    <font>
      <b/>
      <sz val="10"/>
      <color indexed="21"/>
      <name val="Arial"/>
      <family val="2"/>
    </font>
    <font>
      <b/>
      <sz val="10"/>
      <color rgb="FF0000FF"/>
      <name val="Arial"/>
      <family val="2"/>
    </font>
    <font>
      <sz val="9"/>
      <name val="Calibri"/>
      <family val="2"/>
      <scheme val="minor"/>
    </font>
    <font>
      <b/>
      <sz val="9"/>
      <name val="Calibri"/>
      <family val="2"/>
      <scheme val="minor"/>
    </font>
    <font>
      <sz val="8"/>
      <name val="Calibri"/>
      <family val="2"/>
      <scheme val="minor"/>
    </font>
    <font>
      <b/>
      <sz val="8"/>
      <name val="Calibri"/>
      <family val="2"/>
      <scheme val="minor"/>
    </font>
    <font>
      <b/>
      <sz val="9"/>
      <name val="Arial"/>
      <family val="2"/>
    </font>
    <font>
      <sz val="9"/>
      <name val="Arial"/>
      <family val="2"/>
    </font>
    <font>
      <b/>
      <sz val="8"/>
      <name val="Arial"/>
      <family val="2"/>
    </font>
    <font>
      <sz val="8"/>
      <color indexed="9"/>
      <name val="Arial"/>
      <family val="2"/>
    </font>
    <font>
      <b/>
      <sz val="8"/>
      <color indexed="12"/>
      <name val="Arial"/>
      <family val="2"/>
    </font>
    <font>
      <sz val="8"/>
      <color indexed="16"/>
      <name val="Arial"/>
      <family val="2"/>
    </font>
    <font>
      <b/>
      <sz val="8"/>
      <color theme="0" tint="-0.34998626667073579"/>
      <name val="Arial"/>
      <family val="2"/>
    </font>
    <font>
      <b/>
      <sz val="8"/>
      <color theme="0" tint="-0.499984740745262"/>
      <name val="Arial"/>
      <family val="2"/>
    </font>
    <font>
      <b/>
      <sz val="8"/>
      <color indexed="10"/>
      <name val="Arial"/>
      <family val="2"/>
    </font>
    <font>
      <b/>
      <sz val="8"/>
      <color indexed="22"/>
      <name val="Arial"/>
      <family val="2"/>
    </font>
    <font>
      <b/>
      <sz val="8"/>
      <color indexed="16"/>
      <name val="Arial"/>
      <family val="2"/>
    </font>
    <font>
      <sz val="8"/>
      <color indexed="60"/>
      <name val="Arial"/>
      <family val="2"/>
    </font>
    <font>
      <b/>
      <sz val="9"/>
      <color indexed="22"/>
      <name val="Arial"/>
      <family val="2"/>
    </font>
    <font>
      <sz val="9"/>
      <color indexed="16"/>
      <name val="Arial"/>
      <family val="2"/>
    </font>
    <font>
      <sz val="8"/>
      <color theme="0" tint="-0.34998626667073579"/>
      <name val="Arial"/>
      <family val="2"/>
    </font>
    <font>
      <sz val="9"/>
      <color indexed="9"/>
      <name val="Arial"/>
      <family val="2"/>
    </font>
    <font>
      <sz val="8"/>
      <color indexed="22"/>
      <name val="Arial"/>
      <family val="2"/>
    </font>
    <font>
      <sz val="8"/>
      <color indexed="55"/>
      <name val="Arial"/>
      <family val="2"/>
    </font>
    <font>
      <b/>
      <sz val="9"/>
      <color indexed="9"/>
      <name val="Arial"/>
      <family val="2"/>
    </font>
    <font>
      <b/>
      <sz val="10"/>
      <color rgb="FF0E00C0"/>
      <name val="Arial"/>
      <family val="2"/>
    </font>
    <font>
      <b/>
      <sz val="11"/>
      <name val="Calibri"/>
      <family val="2"/>
      <scheme val="minor"/>
    </font>
    <font>
      <b/>
      <sz val="6"/>
      <color theme="0" tint="-0.249977111117893"/>
      <name val="Calibri"/>
      <family val="2"/>
      <scheme val="minor"/>
    </font>
    <font>
      <b/>
      <sz val="11"/>
      <color theme="0" tint="-4.9989318521683403E-2"/>
      <name val="Arial"/>
      <family val="2"/>
    </font>
    <font>
      <b/>
      <sz val="12"/>
      <color indexed="12"/>
      <name val="Arial"/>
      <family val="2"/>
    </font>
    <font>
      <b/>
      <sz val="12"/>
      <color rgb="FF0000FF"/>
      <name val="Arial"/>
      <family val="2"/>
    </font>
    <font>
      <sz val="10"/>
      <color indexed="8"/>
      <name val="Arial"/>
      <family val="2"/>
    </font>
    <font>
      <sz val="12"/>
      <name val="Arial"/>
      <family val="2"/>
    </font>
    <font>
      <b/>
      <sz val="9"/>
      <color indexed="8"/>
      <name val="Arial"/>
      <family val="2"/>
    </font>
    <font>
      <sz val="10"/>
      <name val="Calibri"/>
      <family val="2"/>
      <scheme val="minor"/>
    </font>
    <font>
      <b/>
      <sz val="9"/>
      <color indexed="12"/>
      <name val="Calibri"/>
      <family val="2"/>
      <scheme val="minor"/>
    </font>
    <font>
      <b/>
      <sz val="9"/>
      <color indexed="16"/>
      <name val="Arial"/>
      <family val="2"/>
    </font>
    <font>
      <b/>
      <i/>
      <sz val="9"/>
      <color indexed="8"/>
      <name val="Arial"/>
      <family val="2"/>
    </font>
    <font>
      <b/>
      <sz val="9"/>
      <color rgb="FF8B3331"/>
      <name val="Arial"/>
      <family val="2"/>
    </font>
    <font>
      <b/>
      <i/>
      <sz val="9"/>
      <color indexed="16"/>
      <name val="Arial"/>
      <family val="2"/>
    </font>
    <font>
      <b/>
      <sz val="10"/>
      <color theme="0"/>
      <name val="Arial"/>
      <family val="2"/>
    </font>
    <font>
      <sz val="10"/>
      <color theme="0"/>
      <name val="Arial"/>
      <family val="2"/>
    </font>
    <font>
      <sz val="10"/>
      <color indexed="9"/>
      <name val="Arial"/>
      <family val="2"/>
    </font>
    <font>
      <sz val="10"/>
      <color theme="0" tint="-4.9989318521683403E-2"/>
      <name val="Arial"/>
      <family val="2"/>
    </font>
    <font>
      <b/>
      <sz val="10"/>
      <color theme="0" tint="-4.9989318521683403E-2"/>
      <name val="Arial"/>
      <family val="2"/>
    </font>
    <font>
      <b/>
      <sz val="10"/>
      <color indexed="9"/>
      <name val="Arial"/>
      <family val="2"/>
    </font>
    <font>
      <b/>
      <vertAlign val="subscript"/>
      <sz val="10"/>
      <color indexed="9"/>
      <name val="Arial"/>
      <family val="2"/>
    </font>
    <font>
      <b/>
      <sz val="10"/>
      <color rgb="FF0228E4"/>
      <name val="Arial"/>
      <family val="2"/>
    </font>
    <font>
      <b/>
      <sz val="10"/>
      <color indexed="10"/>
      <name val="Arial"/>
      <family val="2"/>
    </font>
    <font>
      <sz val="10"/>
      <color theme="0" tint="-0.499984740745262"/>
      <name val="Arial"/>
      <family val="2"/>
    </font>
    <font>
      <b/>
      <sz val="10"/>
      <color theme="0" tint="-0.499984740745262"/>
      <name val="Arial"/>
      <family val="2"/>
    </font>
    <font>
      <sz val="10"/>
      <color rgb="FF0000C4"/>
      <name val="Arial"/>
      <family val="2"/>
    </font>
    <font>
      <b/>
      <sz val="11"/>
      <color theme="5" tint="-0.249977111117893"/>
      <name val="Arial"/>
      <family val="2"/>
    </font>
    <font>
      <sz val="11"/>
      <color theme="5" tint="-0.249977111117893"/>
      <name val="Arial"/>
      <family val="2"/>
    </font>
    <font>
      <b/>
      <sz val="11"/>
      <color rgb="FF0000FF"/>
      <name val="Arial"/>
      <family val="2"/>
    </font>
    <font>
      <b/>
      <sz val="10"/>
      <color rgb="FF0000FA"/>
      <name val="Arial"/>
      <family val="2"/>
    </font>
    <font>
      <b/>
      <sz val="12"/>
      <name val="Arial"/>
      <family val="2"/>
    </font>
    <font>
      <b/>
      <sz val="11"/>
      <color theme="1"/>
      <name val="Arial"/>
      <family val="2"/>
    </font>
    <font>
      <b/>
      <vertAlign val="subscript"/>
      <sz val="11"/>
      <color indexed="8"/>
      <name val="Arial"/>
      <family val="2"/>
    </font>
    <font>
      <b/>
      <sz val="11"/>
      <color rgb="FF0033CC"/>
      <name val="Arial"/>
      <family val="2"/>
    </font>
    <font>
      <b/>
      <sz val="11"/>
      <color rgb="FF020DE4"/>
      <name val="Arial"/>
      <family val="2"/>
    </font>
    <font>
      <b/>
      <sz val="11"/>
      <color rgb="FF0000C4"/>
      <name val="Arial"/>
      <family val="2"/>
    </font>
    <font>
      <b/>
      <sz val="11"/>
      <color rgb="FF0E00C0"/>
      <name val="Arial"/>
      <family val="2"/>
    </font>
    <font>
      <b/>
      <sz val="11"/>
      <color rgb="FF3135C5"/>
      <name val="Arial"/>
      <family val="2"/>
    </font>
    <font>
      <b/>
      <sz val="11"/>
      <color rgb="FF000000"/>
      <name val="Arial"/>
      <family val="2"/>
    </font>
    <font>
      <b/>
      <sz val="11"/>
      <color rgb="FF0000FA"/>
      <name val="Arial"/>
      <family val="2"/>
    </font>
    <font>
      <b/>
      <sz val="8"/>
      <color theme="5" tint="-0.24994659260841701"/>
      <name val="Arial Narrow"/>
      <family val="2"/>
    </font>
    <font>
      <sz val="12"/>
      <color theme="0" tint="-0.249977111117893"/>
      <name val="Arial"/>
      <family val="2"/>
    </font>
    <font>
      <b/>
      <sz val="9"/>
      <color theme="0" tint="-0.249977111117893"/>
      <name val="Arial"/>
      <family val="2"/>
    </font>
    <font>
      <sz val="12"/>
      <color theme="0" tint="-0.249977111117893"/>
      <name val="Arial"/>
      <family val="2"/>
    </font>
    <font>
      <sz val="11"/>
      <color rgb="FF0000C4"/>
      <name val="Arial"/>
      <family val="2"/>
    </font>
    <font>
      <b/>
      <sz val="12"/>
      <color rgb="FF0E00C0"/>
      <name val="Arial"/>
      <family val="2"/>
    </font>
    <font>
      <b/>
      <sz val="12"/>
      <color theme="5" tint="-0.499984740745262"/>
      <name val="Arial"/>
      <family val="2"/>
    </font>
    <font>
      <sz val="12"/>
      <color theme="5" tint="-0.499984740745262"/>
      <name val="Arial"/>
      <family val="2"/>
    </font>
    <font>
      <b/>
      <sz val="11"/>
      <color theme="5" tint="-0.499984740745262"/>
      <name val="Verdana"/>
      <family val="2"/>
    </font>
    <font>
      <b/>
      <sz val="10"/>
      <color theme="5" tint="-0.499984740745262"/>
      <name val="Arial"/>
      <family val="2"/>
    </font>
    <font>
      <b/>
      <sz val="8"/>
      <color theme="5" tint="-0.499984740745262"/>
      <name val="Arial"/>
      <family val="2"/>
    </font>
    <font>
      <b/>
      <sz val="8"/>
      <color theme="0" tint="-0.499984740745262"/>
      <name val="Calibri"/>
      <family val="2"/>
      <scheme val="minor"/>
    </font>
    <font>
      <b/>
      <sz val="6"/>
      <color theme="0" tint="-0.499984740745262"/>
      <name val="Arial"/>
      <family val="2"/>
    </font>
    <font>
      <b/>
      <sz val="6"/>
      <color theme="0" tint="-0.249977111117893"/>
      <name val="Arial"/>
      <family val="2"/>
    </font>
    <font>
      <b/>
      <sz val="7"/>
      <color theme="5" tint="-0.499984740745262"/>
      <name val="Arial"/>
      <family val="2"/>
    </font>
    <font>
      <b/>
      <sz val="8"/>
      <color indexed="13"/>
      <name val="Arial"/>
      <family val="2"/>
    </font>
    <font>
      <b/>
      <sz val="8"/>
      <color rgb="FFFFFF00"/>
      <name val="Arial"/>
      <family val="2"/>
    </font>
    <font>
      <b/>
      <sz val="8"/>
      <color theme="0"/>
      <name val="Arial"/>
      <family val="2"/>
    </font>
    <font>
      <sz val="9"/>
      <color theme="5" tint="-0.499984740745262"/>
      <name val="Arial"/>
      <family val="2"/>
    </font>
    <font>
      <sz val="6"/>
      <color theme="0" tint="-0.249977111117893"/>
      <name val="Arial"/>
      <family val="2"/>
    </font>
    <font>
      <b/>
      <sz val="12"/>
      <color rgb="FFFFFF00"/>
      <name val="Arial"/>
      <family val="2"/>
    </font>
    <font>
      <sz val="12"/>
      <color rgb="FFFFFF00"/>
      <name val="Arial"/>
      <family val="2"/>
    </font>
    <font>
      <sz val="10"/>
      <color theme="1"/>
      <name val="Arial"/>
      <family val="2"/>
    </font>
    <font>
      <b/>
      <sz val="10"/>
      <color rgb="FFFFFFFF"/>
      <name val="Arial"/>
      <family val="2"/>
    </font>
    <font>
      <b/>
      <sz val="6.5"/>
      <color rgb="FFFFFFFF"/>
      <name val="Arial"/>
      <family val="2"/>
    </font>
    <font>
      <b/>
      <i/>
      <sz val="8"/>
      <color indexed="12"/>
      <name val="Arial"/>
      <family val="2"/>
    </font>
    <font>
      <b/>
      <sz val="9"/>
      <color indexed="42"/>
      <name val="Arial"/>
      <family val="2"/>
    </font>
    <font>
      <b/>
      <sz val="9"/>
      <color rgb="FF92D050"/>
      <name val="Arial"/>
      <family val="2"/>
    </font>
    <font>
      <b/>
      <sz val="9"/>
      <color theme="2"/>
      <name val="Arial"/>
      <family val="2"/>
    </font>
    <font>
      <b/>
      <sz val="9"/>
      <color rgb="FFFBFE74"/>
      <name val="Arial"/>
      <family val="2"/>
    </font>
    <font>
      <b/>
      <sz val="9"/>
      <color theme="6" tint="0.39997558519241921"/>
      <name val="Arial"/>
      <family val="2"/>
    </font>
    <font>
      <b/>
      <sz val="9"/>
      <color theme="9" tint="0.39997558519241921"/>
      <name val="Arial"/>
      <family val="2"/>
    </font>
    <font>
      <b/>
      <sz val="9"/>
      <color indexed="47"/>
      <name val="Arial"/>
      <family val="2"/>
    </font>
    <font>
      <b/>
      <sz val="9"/>
      <color theme="0" tint="-0.34998626667073579"/>
      <name val="Arial"/>
      <family val="2"/>
    </font>
    <font>
      <sz val="12"/>
      <color theme="0" tint="-0.499984740745262"/>
      <name val="Calibri"/>
      <family val="2"/>
      <scheme val="minor"/>
    </font>
    <font>
      <sz val="12"/>
      <color theme="0" tint="-0.24994659260841701"/>
      <name val="Arial"/>
      <family val="2"/>
    </font>
    <font>
      <sz val="8"/>
      <color theme="0"/>
      <name val="Arial"/>
      <family val="2"/>
    </font>
    <font>
      <b/>
      <sz val="8"/>
      <color rgb="FFFFFFFF"/>
      <name val="Arial"/>
      <family val="2"/>
    </font>
    <font>
      <b/>
      <sz val="8"/>
      <color rgb="FF0228E4"/>
      <name val="Arial"/>
      <family val="2"/>
    </font>
    <font>
      <sz val="8"/>
      <color rgb="FFFFFFCC"/>
      <name val="Arial"/>
      <family val="2"/>
    </font>
    <font>
      <sz val="8"/>
      <color theme="2"/>
      <name val="Arial"/>
      <family val="2"/>
    </font>
    <font>
      <b/>
      <sz val="8"/>
      <color rgb="FF00B050"/>
      <name val="Arial"/>
      <family val="2"/>
    </font>
    <font>
      <b/>
      <sz val="8"/>
      <color rgb="FFFFFF99"/>
      <name val="Arial"/>
      <family val="2"/>
    </font>
    <font>
      <b/>
      <sz val="8"/>
      <color theme="2" tint="-9.9978637043366805E-2"/>
      <name val="Arial"/>
      <family val="2"/>
    </font>
    <font>
      <b/>
      <sz val="9"/>
      <color rgb="FFFF1515"/>
      <name val="Arial"/>
      <family val="2"/>
    </font>
    <font>
      <sz val="11"/>
      <color theme="5" tint="-0.499984740745262"/>
      <name val="Verdana"/>
      <family val="2"/>
    </font>
    <font>
      <sz val="12"/>
      <color theme="0" tint="-0.499984740745262"/>
      <name val="Arial"/>
      <family val="2"/>
    </font>
    <font>
      <b/>
      <sz val="8"/>
      <color rgb="FFFF0000"/>
      <name val="Calibri"/>
      <family val="2"/>
      <scheme val="minor"/>
    </font>
    <font>
      <b/>
      <sz val="9"/>
      <color rgb="FF0000FF"/>
      <name val="Arial"/>
      <family val="2"/>
    </font>
    <font>
      <b/>
      <sz val="14"/>
      <color rgb="FF0C00A8"/>
      <name val="Verdana"/>
      <family val="2"/>
    </font>
    <font>
      <b/>
      <sz val="14"/>
      <color indexed="16"/>
      <name val="Arial"/>
      <family val="2"/>
    </font>
    <font>
      <b/>
      <sz val="14"/>
      <color rgb="FF0E00C0"/>
      <name val="Verdana"/>
      <family val="2"/>
    </font>
    <font>
      <sz val="14"/>
      <color rgb="FF0E00C0"/>
      <name val="Verdana"/>
      <family val="2"/>
    </font>
    <font>
      <sz val="10"/>
      <color rgb="FF0E00C0"/>
      <name val="Arial"/>
      <family val="2"/>
    </font>
    <font>
      <b/>
      <sz val="14"/>
      <color rgb="FF0E00C0"/>
      <name val="Arial"/>
      <family val="2"/>
    </font>
    <font>
      <sz val="14"/>
      <color rgb="FF0E00C0"/>
      <name val="Arial"/>
      <family val="2"/>
    </font>
    <font>
      <b/>
      <sz val="11"/>
      <color theme="0" tint="-0.249977111117893"/>
      <name val="Arial"/>
      <family val="2"/>
    </font>
    <font>
      <sz val="12"/>
      <color theme="0"/>
      <name val="Arial"/>
      <family val="2"/>
    </font>
    <font>
      <sz val="8"/>
      <color theme="0" tint="-0.499984740745262"/>
      <name val="Calibri"/>
      <family val="2"/>
      <scheme val="minor"/>
    </font>
    <font>
      <sz val="8"/>
      <color theme="0" tint="-0.499984740745262"/>
      <name val="Arial"/>
      <family val="2"/>
    </font>
    <font>
      <b/>
      <sz val="10"/>
      <color rgb="FFFFC000"/>
      <name val="Verdana"/>
      <family val="2"/>
    </font>
    <font>
      <sz val="10"/>
      <color rgb="FFFFC000"/>
      <name val="Verdana"/>
      <family val="2"/>
    </font>
    <font>
      <b/>
      <sz val="12"/>
      <color theme="5" tint="-0.249977111117893"/>
      <name val="Arial"/>
      <family val="2"/>
    </font>
    <font>
      <sz val="12"/>
      <color theme="5" tint="-0.249977111117893"/>
      <name val="Arial"/>
      <family val="2"/>
    </font>
    <font>
      <b/>
      <sz val="12"/>
      <color theme="0"/>
      <name val="Arial"/>
      <family val="2"/>
    </font>
    <font>
      <sz val="12"/>
      <color rgb="FFFFC000"/>
      <name val="Verdana"/>
      <family val="2"/>
    </font>
    <font>
      <b/>
      <sz val="11"/>
      <color rgb="FF0000C4"/>
      <name val="Engravers MT"/>
      <family val="1"/>
    </font>
    <font>
      <b/>
      <sz val="10"/>
      <name val="Engravers MT"/>
      <family val="1"/>
    </font>
    <font>
      <b/>
      <sz val="11"/>
      <name val="Engravers MT"/>
      <family val="1"/>
    </font>
    <font>
      <b/>
      <sz val="12"/>
      <name val="Engravers MT"/>
      <family val="1"/>
    </font>
    <font>
      <b/>
      <sz val="11"/>
      <color rgb="FF0000FF"/>
      <name val="Engravers MT"/>
      <family val="1"/>
    </font>
    <font>
      <b/>
      <sz val="11"/>
      <color rgb="FF0E00C0"/>
      <name val="Engravers MT"/>
      <family val="1"/>
    </font>
    <font>
      <sz val="11"/>
      <name val="Engravers MT"/>
      <family val="1"/>
    </font>
    <font>
      <b/>
      <sz val="11"/>
      <color rgb="FF0000FA"/>
      <name val="Engravers MT"/>
      <family val="1"/>
    </font>
    <font>
      <b/>
      <sz val="10"/>
      <color rgb="FF0000FF"/>
      <name val="Engravers MT"/>
      <family val="1"/>
    </font>
    <font>
      <b/>
      <sz val="11"/>
      <color theme="0"/>
      <name val="Arial"/>
      <family val="2"/>
    </font>
    <font>
      <b/>
      <sz val="14"/>
      <color theme="5" tint="-0.249977111117893"/>
      <name val="Arial"/>
      <family val="2"/>
    </font>
    <font>
      <b/>
      <sz val="9"/>
      <color rgb="FFFFFFFF"/>
      <name val="Arial"/>
      <family val="2"/>
    </font>
    <font>
      <b/>
      <sz val="9"/>
      <color rgb="FF0228E4"/>
      <name val="Arial"/>
      <family val="2"/>
    </font>
    <font>
      <b/>
      <sz val="10"/>
      <color theme="0" tint="-0.249977111117893"/>
      <name val="Arial"/>
      <family val="2"/>
    </font>
    <font>
      <b/>
      <sz val="6"/>
      <color theme="0" tint="-0.24994659260841701"/>
      <name val="Arial"/>
      <family val="2"/>
    </font>
  </fonts>
  <fills count="15">
    <fill>
      <patternFill patternType="none"/>
    </fill>
    <fill>
      <patternFill patternType="gray125"/>
    </fill>
    <fill>
      <patternFill patternType="solid">
        <fgColor indexed="23"/>
        <bgColor indexed="64"/>
      </patternFill>
    </fill>
    <fill>
      <patternFill patternType="solid">
        <fgColor indexed="22"/>
        <bgColor indexed="64"/>
      </patternFill>
    </fill>
    <fill>
      <patternFill patternType="solid">
        <fgColor indexed="22"/>
        <bgColor indexed="22"/>
      </patternFill>
    </fill>
    <fill>
      <patternFill patternType="solid">
        <fgColor indexed="55"/>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theme="0"/>
        <bgColor indexed="64"/>
      </patternFill>
    </fill>
    <fill>
      <patternFill patternType="solid">
        <fgColor theme="0" tint="-0.499984740745262"/>
        <bgColor indexed="64"/>
      </patternFill>
    </fill>
    <fill>
      <patternFill patternType="solid">
        <fgColor rgb="FFFFFFCC"/>
        <bgColor indexed="64"/>
      </patternFill>
    </fill>
    <fill>
      <patternFill patternType="solid">
        <fgColor theme="2"/>
        <bgColor indexed="64"/>
      </patternFill>
    </fill>
    <fill>
      <patternFill patternType="gray0625">
        <bgColor theme="2"/>
      </patternFill>
    </fill>
    <fill>
      <patternFill patternType="solid">
        <fgColor theme="2" tint="-9.9948118533890809E-2"/>
        <bgColor indexed="64"/>
      </patternFill>
    </fill>
    <fill>
      <patternFill patternType="solid">
        <fgColor theme="2" tint="-9.9978637043366805E-2"/>
        <bgColor indexed="64"/>
      </patternFill>
    </fill>
  </fills>
  <borders count="183">
    <border>
      <left/>
      <right/>
      <top/>
      <bottom/>
      <diagonal/>
    </border>
    <border>
      <left style="thin">
        <color indexed="64"/>
      </left>
      <right/>
      <top style="medium">
        <color indexed="64"/>
      </top>
      <bottom style="thin">
        <color indexed="64"/>
      </bottom>
      <diagonal/>
    </border>
    <border>
      <left style="thin">
        <color indexed="64"/>
      </left>
      <right style="thin">
        <color indexed="64"/>
      </right>
      <top/>
      <bottom style="thick">
        <color indexed="64"/>
      </bottom>
      <diagonal/>
    </border>
    <border>
      <left/>
      <right/>
      <top style="medium">
        <color indexed="64"/>
      </top>
      <bottom/>
      <diagonal/>
    </border>
    <border>
      <left style="thin">
        <color indexed="64"/>
      </left>
      <right style="thin">
        <color indexed="64"/>
      </right>
      <top/>
      <bottom/>
      <diagonal/>
    </border>
    <border>
      <left style="thin">
        <color indexed="64"/>
      </left>
      <right/>
      <top/>
      <bottom/>
      <diagonal/>
    </border>
    <border>
      <left style="thick">
        <color indexed="64"/>
      </left>
      <right style="thin">
        <color indexed="64"/>
      </right>
      <top/>
      <bottom/>
      <diagonal/>
    </border>
    <border>
      <left/>
      <right style="thin">
        <color indexed="64"/>
      </right>
      <top/>
      <bottom/>
      <diagonal/>
    </border>
    <border>
      <left/>
      <right style="thick">
        <color indexed="64"/>
      </right>
      <top/>
      <bottom/>
      <diagonal/>
    </border>
    <border>
      <left style="thick">
        <color indexed="64"/>
      </left>
      <right style="thin">
        <color indexed="64"/>
      </right>
      <top/>
      <bottom style="thick">
        <color indexed="64"/>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right style="thick">
        <color indexed="64"/>
      </right>
      <top/>
      <bottom style="thick">
        <color indexed="64"/>
      </bottom>
      <diagonal/>
    </border>
    <border>
      <left style="thick">
        <color indexed="64"/>
      </left>
      <right style="thick">
        <color indexed="64"/>
      </right>
      <top/>
      <bottom/>
      <diagonal/>
    </border>
    <border>
      <left/>
      <right style="medium">
        <color indexed="64"/>
      </right>
      <top/>
      <bottom/>
      <diagonal/>
    </border>
    <border>
      <left style="medium">
        <color indexed="64"/>
      </left>
      <right/>
      <top/>
      <bottom/>
      <diagonal/>
    </border>
    <border>
      <left/>
      <right style="medium">
        <color indexed="64"/>
      </right>
      <top style="medium">
        <color indexed="64"/>
      </top>
      <bottom style="medium">
        <color indexed="64"/>
      </bottom>
      <diagonal/>
    </border>
    <border>
      <left style="thick">
        <color indexed="64"/>
      </left>
      <right style="thick">
        <color indexed="64"/>
      </right>
      <top style="thick">
        <color indexed="64"/>
      </top>
      <bottom/>
      <diagonal/>
    </border>
    <border>
      <left style="thick">
        <color indexed="64"/>
      </left>
      <right style="thick">
        <color indexed="64"/>
      </right>
      <top/>
      <bottom style="thick">
        <color indexed="64"/>
      </bottom>
      <diagonal/>
    </border>
    <border>
      <left style="thick">
        <color indexed="64"/>
      </left>
      <right/>
      <top/>
      <bottom/>
      <diagonal/>
    </border>
    <border>
      <left/>
      <right/>
      <top style="thick">
        <color indexed="64"/>
      </top>
      <bottom/>
      <diagonal/>
    </border>
    <border>
      <left style="thick">
        <color indexed="64"/>
      </left>
      <right/>
      <top/>
      <bottom style="thick">
        <color indexed="64"/>
      </bottom>
      <diagonal/>
    </border>
    <border>
      <left/>
      <right/>
      <top style="medium">
        <color indexed="64"/>
      </top>
      <bottom style="medium">
        <color indexed="64"/>
      </bottom>
      <diagonal/>
    </border>
    <border>
      <left style="thick">
        <color indexed="64"/>
      </left>
      <right/>
      <top style="thick">
        <color indexed="64"/>
      </top>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thick">
        <color indexed="64"/>
      </top>
      <bottom style="thick">
        <color indexed="64"/>
      </bottom>
      <diagonal/>
    </border>
    <border>
      <left style="thin">
        <color indexed="64"/>
      </left>
      <right/>
      <top style="thin">
        <color indexed="64"/>
      </top>
      <bottom style="thin">
        <color indexed="64"/>
      </bottom>
      <diagonal/>
    </border>
    <border>
      <left style="thick">
        <color indexed="64"/>
      </left>
      <right style="medium">
        <color indexed="64"/>
      </right>
      <top style="thick">
        <color indexed="64"/>
      </top>
      <bottom style="medium">
        <color indexed="64"/>
      </bottom>
      <diagonal/>
    </border>
    <border>
      <left style="thick">
        <color indexed="64"/>
      </left>
      <right style="thick">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thick">
        <color indexed="64"/>
      </left>
      <right style="thick">
        <color indexed="64"/>
      </right>
      <top style="medium">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style="thick">
        <color indexed="64"/>
      </right>
      <top style="thick">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double">
        <color indexed="64"/>
      </right>
      <top style="medium">
        <color indexed="64"/>
      </top>
      <bottom style="thin">
        <color indexed="64"/>
      </bottom>
      <diagonal/>
    </border>
    <border>
      <left style="double">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dashed">
        <color indexed="64"/>
      </right>
      <top/>
      <bottom/>
      <diagonal/>
    </border>
    <border>
      <left style="dashed">
        <color indexed="64"/>
      </left>
      <right/>
      <top/>
      <bottom/>
      <diagonal/>
    </border>
    <border>
      <left style="thin">
        <color indexed="64"/>
      </left>
      <right style="double">
        <color indexed="64"/>
      </right>
      <top/>
      <bottom style="medium">
        <color indexed="64"/>
      </bottom>
      <diagonal/>
    </border>
    <border>
      <left style="double">
        <color indexed="64"/>
      </left>
      <right style="dashed">
        <color indexed="64"/>
      </right>
      <top/>
      <bottom style="medium">
        <color indexed="64"/>
      </bottom>
      <diagonal/>
    </border>
    <border>
      <left style="dashed">
        <color indexed="64"/>
      </left>
      <right style="dashed">
        <color indexed="64"/>
      </right>
      <top/>
      <bottom/>
      <diagonal/>
    </border>
    <border>
      <left style="medium">
        <color indexed="64"/>
      </left>
      <right/>
      <top/>
      <bottom style="thin">
        <color indexed="64"/>
      </bottom>
      <diagonal/>
    </border>
    <border>
      <left style="dashed">
        <color indexed="64"/>
      </left>
      <right/>
      <top/>
      <bottom style="thin">
        <color indexed="64"/>
      </bottom>
      <diagonal/>
    </border>
    <border>
      <left/>
      <right style="medium">
        <color indexed="64"/>
      </right>
      <top/>
      <bottom style="thin">
        <color indexed="64"/>
      </bottom>
      <diagonal/>
    </border>
    <border>
      <left style="thin">
        <color indexed="23"/>
      </left>
      <right style="dashed">
        <color indexed="23"/>
      </right>
      <top/>
      <bottom style="dashed">
        <color indexed="23"/>
      </bottom>
      <diagonal/>
    </border>
    <border>
      <left/>
      <right style="dashed">
        <color indexed="23"/>
      </right>
      <top/>
      <bottom style="dashed">
        <color indexed="23"/>
      </bottom>
      <diagonal/>
    </border>
    <border>
      <left style="dashed">
        <color indexed="23"/>
      </left>
      <right/>
      <top/>
      <bottom style="dashed">
        <color indexed="23"/>
      </bottom>
      <diagonal/>
    </border>
    <border>
      <left style="thin">
        <color indexed="23"/>
      </left>
      <right style="dashed">
        <color indexed="23"/>
      </right>
      <top style="dashed">
        <color indexed="23"/>
      </top>
      <bottom style="dashed">
        <color indexed="23"/>
      </bottom>
      <diagonal/>
    </border>
    <border>
      <left/>
      <right style="dashed">
        <color indexed="23"/>
      </right>
      <top style="dashed">
        <color indexed="23"/>
      </top>
      <bottom style="dashed">
        <color indexed="23"/>
      </bottom>
      <diagonal/>
    </border>
    <border>
      <left style="dashed">
        <color indexed="23"/>
      </left>
      <right/>
      <top style="dashed">
        <color indexed="23"/>
      </top>
      <bottom style="dashed">
        <color indexed="23"/>
      </bottom>
      <diagonal/>
    </border>
    <border>
      <left style="thin">
        <color indexed="23"/>
      </left>
      <right style="dashed">
        <color indexed="23"/>
      </right>
      <top style="dashed">
        <color indexed="23"/>
      </top>
      <bottom/>
      <diagonal/>
    </border>
    <border>
      <left/>
      <right style="dashed">
        <color indexed="23"/>
      </right>
      <top style="dashed">
        <color indexed="23"/>
      </top>
      <bottom/>
      <diagonal/>
    </border>
    <border>
      <left style="dashed">
        <color indexed="23"/>
      </left>
      <right/>
      <top style="dashed">
        <color indexed="23"/>
      </top>
      <bottom/>
      <diagonal/>
    </border>
    <border>
      <left/>
      <right/>
      <top style="thin">
        <color indexed="64"/>
      </top>
      <bottom style="medium">
        <color indexed="64"/>
      </bottom>
      <diagonal/>
    </border>
    <border>
      <left style="thick">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style="dashed">
        <color indexed="64"/>
      </left>
      <right/>
      <top style="medium">
        <color indexed="64"/>
      </top>
      <bottom style="thin">
        <color indexed="64"/>
      </bottom>
      <diagonal/>
    </border>
    <border>
      <left/>
      <right/>
      <top/>
      <bottom style="dashed">
        <color indexed="23"/>
      </bottom>
      <diagonal/>
    </border>
    <border>
      <left/>
      <right/>
      <top style="dashed">
        <color indexed="23"/>
      </top>
      <bottom style="dashed">
        <color indexed="23"/>
      </bottom>
      <diagonal/>
    </border>
    <border>
      <left/>
      <right/>
      <top style="dashed">
        <color indexed="23"/>
      </top>
      <bottom/>
      <diagonal/>
    </border>
    <border>
      <left style="dashed">
        <color indexed="23"/>
      </left>
      <right style="dashed">
        <color indexed="23"/>
      </right>
      <top style="dashed">
        <color indexed="23"/>
      </top>
      <bottom style="dashed">
        <color indexed="23"/>
      </bottom>
      <diagonal/>
    </border>
    <border>
      <left style="dashed">
        <color indexed="23"/>
      </left>
      <right style="thin">
        <color indexed="23"/>
      </right>
      <top style="dashed">
        <color indexed="23"/>
      </top>
      <bottom style="dashed">
        <color indexed="23"/>
      </bottom>
      <diagonal/>
    </border>
    <border>
      <left style="dashed">
        <color indexed="23"/>
      </left>
      <right style="dashed">
        <color indexed="23"/>
      </right>
      <top style="dashed">
        <color indexed="23"/>
      </top>
      <bottom/>
      <diagonal/>
    </border>
    <border>
      <left style="dashed">
        <color indexed="23"/>
      </left>
      <right style="thin">
        <color indexed="23"/>
      </right>
      <top style="dashed">
        <color indexed="23"/>
      </top>
      <bottom/>
      <diagonal/>
    </border>
    <border>
      <left style="dashed">
        <color indexed="23"/>
      </left>
      <right style="dashed">
        <color indexed="23"/>
      </right>
      <top/>
      <bottom style="dashed">
        <color indexed="23"/>
      </bottom>
      <diagonal/>
    </border>
    <border>
      <left style="dashed">
        <color indexed="23"/>
      </left>
      <right style="thin">
        <color indexed="23"/>
      </right>
      <top/>
      <bottom style="dashed">
        <color indexed="23"/>
      </bottom>
      <diagonal/>
    </border>
    <border>
      <left/>
      <right style="thick">
        <color indexed="64"/>
      </right>
      <top style="thick">
        <color indexed="64"/>
      </top>
      <bottom/>
      <diagonal/>
    </border>
    <border>
      <left style="medium">
        <color indexed="64"/>
      </left>
      <right style="medium">
        <color indexed="64"/>
      </right>
      <top style="thick">
        <color indexed="64"/>
      </top>
      <bottom style="thick">
        <color indexed="64"/>
      </bottom>
      <diagonal/>
    </border>
    <border>
      <left/>
      <right style="thin">
        <color indexed="64"/>
      </right>
      <top style="thin">
        <color indexed="64"/>
      </top>
      <bottom/>
      <diagonal/>
    </border>
    <border>
      <left style="medium">
        <color indexed="64"/>
      </left>
      <right/>
      <top style="thick">
        <color indexed="64"/>
      </top>
      <bottom style="thick">
        <color indexed="64"/>
      </bottom>
      <diagonal/>
    </border>
    <border>
      <left/>
      <right style="medium">
        <color indexed="64"/>
      </right>
      <top style="thick">
        <color indexed="64"/>
      </top>
      <bottom style="thick">
        <color indexed="64"/>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top style="medium">
        <color indexed="64"/>
      </top>
      <bottom style="thick">
        <color indexed="64"/>
      </bottom>
      <diagonal/>
    </border>
    <border>
      <left/>
      <right style="medium">
        <color indexed="64"/>
      </right>
      <top style="thick">
        <color indexed="64"/>
      </top>
      <bottom/>
      <diagonal/>
    </border>
    <border>
      <left/>
      <right/>
      <top style="thin">
        <color indexed="64"/>
      </top>
      <bottom style="thick">
        <color indexed="64"/>
      </bottom>
      <diagonal/>
    </border>
    <border>
      <left/>
      <right style="medium">
        <color indexed="64"/>
      </right>
      <top/>
      <bottom style="thick">
        <color indexed="64"/>
      </bottom>
      <diagonal/>
    </border>
    <border>
      <left style="medium">
        <color indexed="64"/>
      </left>
      <right/>
      <top/>
      <bottom style="thick">
        <color indexed="64"/>
      </bottom>
      <diagonal/>
    </border>
    <border>
      <left style="thick">
        <color indexed="64"/>
      </left>
      <right style="medium">
        <color indexed="64"/>
      </right>
      <top/>
      <bottom style="thick">
        <color indexed="64"/>
      </bottom>
      <diagonal/>
    </border>
    <border>
      <left style="medium">
        <color indexed="64"/>
      </left>
      <right style="thin">
        <color indexed="64"/>
      </right>
      <top style="thick">
        <color indexed="64"/>
      </top>
      <bottom style="thick">
        <color indexed="64"/>
      </bottom>
      <diagonal/>
    </border>
    <border>
      <left style="dashed">
        <color indexed="64"/>
      </left>
      <right style="dashed">
        <color indexed="64"/>
      </right>
      <top/>
      <bottom style="thick">
        <color indexed="64"/>
      </bottom>
      <diagonal/>
    </border>
    <border>
      <left style="dashed">
        <color indexed="64"/>
      </left>
      <right style="double">
        <color indexed="64"/>
      </right>
      <top/>
      <bottom style="thick">
        <color indexed="64"/>
      </bottom>
      <diagonal/>
    </border>
    <border>
      <left style="double">
        <color indexed="64"/>
      </left>
      <right/>
      <top style="thin">
        <color indexed="64"/>
      </top>
      <bottom style="thick">
        <color indexed="64"/>
      </bottom>
      <diagonal/>
    </border>
    <border>
      <left/>
      <right style="medium">
        <color indexed="64"/>
      </right>
      <top style="thin">
        <color indexed="64"/>
      </top>
      <bottom style="thick">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ck">
        <color indexed="64"/>
      </left>
      <right style="medium">
        <color indexed="64"/>
      </right>
      <top style="thick">
        <color indexed="64"/>
      </top>
      <bottom style="thick">
        <color indexed="64"/>
      </bottom>
      <diagonal/>
    </border>
    <border>
      <left style="thick">
        <color indexed="64"/>
      </left>
      <right style="medium">
        <color indexed="64"/>
      </right>
      <top style="thick">
        <color indexed="64"/>
      </top>
      <bottom/>
      <diagonal/>
    </border>
    <border>
      <left style="medium">
        <color indexed="64"/>
      </left>
      <right style="thick">
        <color indexed="64"/>
      </right>
      <top style="thick">
        <color indexed="64"/>
      </top>
      <bottom/>
      <diagonal/>
    </border>
    <border>
      <left style="medium">
        <color indexed="64"/>
      </left>
      <right style="thick">
        <color indexed="64"/>
      </right>
      <top/>
      <bottom style="thick">
        <color indexed="64"/>
      </bottom>
      <diagonal/>
    </border>
    <border>
      <left style="thick">
        <color indexed="64"/>
      </left>
      <right style="medium">
        <color indexed="64"/>
      </right>
      <top style="thick">
        <color indexed="64"/>
      </top>
      <bottom style="thin">
        <color indexed="64"/>
      </bottom>
      <diagonal/>
    </border>
    <border>
      <left style="medium">
        <color indexed="64"/>
      </left>
      <right style="thick">
        <color indexed="64"/>
      </right>
      <top style="thick">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diagonal/>
    </border>
    <border>
      <left style="medium">
        <color indexed="64"/>
      </left>
      <right/>
      <top style="thin">
        <color indexed="64"/>
      </top>
      <bottom style="thick">
        <color indexed="64"/>
      </bottom>
      <diagonal/>
    </border>
    <border>
      <left style="thick">
        <color indexed="64"/>
      </left>
      <right style="dashed">
        <color indexed="64"/>
      </right>
      <top style="thick">
        <color indexed="64"/>
      </top>
      <bottom style="thick">
        <color indexed="64"/>
      </bottom>
      <diagonal/>
    </border>
    <border>
      <left style="dashed">
        <color indexed="64"/>
      </left>
      <right style="thick">
        <color indexed="64"/>
      </right>
      <top style="thick">
        <color indexed="64"/>
      </top>
      <bottom style="thick">
        <color indexed="64"/>
      </bottom>
      <diagonal/>
    </border>
    <border>
      <left style="thin">
        <color indexed="64"/>
      </left>
      <right/>
      <top style="thick">
        <color indexed="64"/>
      </top>
      <bottom style="thin">
        <color indexed="64"/>
      </bottom>
      <diagonal/>
    </border>
    <border>
      <left/>
      <right style="thin">
        <color indexed="64"/>
      </right>
      <top style="thick">
        <color indexed="64"/>
      </top>
      <bottom style="thin">
        <color indexed="64"/>
      </bottom>
      <diagonal/>
    </border>
    <border>
      <left style="medium">
        <color indexed="64"/>
      </left>
      <right style="thick">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ck">
        <color indexed="64"/>
      </right>
      <top style="thick">
        <color indexed="64"/>
      </top>
      <bottom style="medium">
        <color indexed="64"/>
      </bottom>
      <diagonal/>
    </border>
    <border>
      <left style="medium">
        <color indexed="64"/>
      </left>
      <right style="thick">
        <color indexed="64"/>
      </right>
      <top style="medium">
        <color indexed="64"/>
      </top>
      <bottom/>
      <diagonal/>
    </border>
    <border>
      <left style="medium">
        <color indexed="64"/>
      </left>
      <right style="thick">
        <color indexed="64"/>
      </right>
      <top/>
      <bottom/>
      <diagonal/>
    </border>
    <border>
      <left style="medium">
        <color indexed="64"/>
      </left>
      <right style="thick">
        <color indexed="64"/>
      </right>
      <top/>
      <bottom style="medium">
        <color indexed="64"/>
      </bottom>
      <diagonal/>
    </border>
    <border>
      <left style="medium">
        <color indexed="64"/>
      </left>
      <right style="thick">
        <color indexed="64"/>
      </right>
      <top style="medium">
        <color indexed="64"/>
      </top>
      <bottom style="thick">
        <color indexed="64"/>
      </bottom>
      <diagonal/>
    </border>
    <border>
      <left/>
      <right style="thin">
        <color auto="1"/>
      </right>
      <top/>
      <bottom style="thin">
        <color auto="1"/>
      </bottom>
      <diagonal/>
    </border>
    <border>
      <left style="medium">
        <color indexed="64"/>
      </left>
      <right/>
      <top style="medium">
        <color indexed="64"/>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ck">
        <color indexed="64"/>
      </right>
      <top style="medium">
        <color indexed="64"/>
      </top>
      <bottom style="thick">
        <color indexed="64"/>
      </bottom>
      <diagonal/>
    </border>
    <border>
      <left style="thin">
        <color indexed="64"/>
      </left>
      <right style="thin">
        <color indexed="64"/>
      </right>
      <top style="thin">
        <color indexed="64"/>
      </top>
      <bottom/>
      <diagonal/>
    </border>
    <border>
      <left style="thin">
        <color indexed="64"/>
      </left>
      <right style="medium">
        <color indexed="64"/>
      </right>
      <top/>
      <bottom/>
      <diagonal/>
    </border>
    <border>
      <left/>
      <right style="thin">
        <color indexed="64"/>
      </right>
      <top style="medium">
        <color indexed="64"/>
      </top>
      <bottom style="thick">
        <color indexed="64"/>
      </bottom>
      <diagonal/>
    </border>
    <border>
      <left style="thin">
        <color indexed="64"/>
      </left>
      <right style="thick">
        <color indexed="64"/>
      </right>
      <top style="medium">
        <color indexed="64"/>
      </top>
      <bottom style="thick">
        <color indexed="64"/>
      </bottom>
      <diagonal/>
    </border>
    <border>
      <left style="thin">
        <color indexed="64"/>
      </left>
      <right style="thick">
        <color indexed="64"/>
      </right>
      <top style="medium">
        <color indexed="64"/>
      </top>
      <bottom style="thin">
        <color indexed="64"/>
      </bottom>
      <diagonal/>
    </border>
    <border>
      <left style="medium">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medium">
        <color indexed="64"/>
      </left>
      <right style="thin">
        <color indexed="64"/>
      </right>
      <top style="medium">
        <color indexed="64"/>
      </top>
      <bottom style="thick">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right style="thick">
        <color indexed="64"/>
      </right>
      <top style="medium">
        <color indexed="64"/>
      </top>
      <bottom/>
      <diagonal/>
    </border>
    <border>
      <left style="thin">
        <color indexed="64"/>
      </left>
      <right/>
      <top style="thin">
        <color indexed="64"/>
      </top>
      <bottom style="thick">
        <color indexed="64"/>
      </bottom>
      <diagonal/>
    </border>
    <border>
      <left/>
      <right style="thick">
        <color indexed="64"/>
      </right>
      <top style="thin">
        <color indexed="64"/>
      </top>
      <bottom style="thick">
        <color indexed="64"/>
      </bottom>
      <diagonal/>
    </border>
    <border>
      <left/>
      <right/>
      <top style="thick">
        <color indexed="64"/>
      </top>
      <bottom style="thin">
        <color indexed="64"/>
      </bottom>
      <diagonal/>
    </border>
    <border>
      <left style="thin">
        <color indexed="64"/>
      </left>
      <right style="thin">
        <color indexed="64"/>
      </right>
      <top/>
      <bottom style="medium">
        <color indexed="64"/>
      </bottom>
      <diagonal/>
    </border>
    <border>
      <left style="thick">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ck">
        <color indexed="64"/>
      </right>
      <top style="medium">
        <color indexed="64"/>
      </top>
      <bottom style="medium">
        <color indexed="64"/>
      </bottom>
      <diagonal/>
    </border>
    <border>
      <left style="thin">
        <color indexed="64"/>
      </left>
      <right/>
      <top style="medium">
        <color indexed="64"/>
      </top>
      <bottom/>
      <diagonal/>
    </border>
    <border>
      <left style="thick">
        <color indexed="64"/>
      </left>
      <right/>
      <top style="thick">
        <color indexed="64"/>
      </top>
      <bottom style="thin">
        <color indexed="64"/>
      </bottom>
      <diagonal/>
    </border>
    <border>
      <left style="thick">
        <color indexed="64"/>
      </left>
      <right style="thick">
        <color indexed="64"/>
      </right>
      <top/>
      <bottom style="thin">
        <color indexed="64"/>
      </bottom>
      <diagonal/>
    </border>
    <border>
      <left style="thick">
        <color indexed="64"/>
      </left>
      <right style="medium">
        <color indexed="64"/>
      </right>
      <top style="medium">
        <color indexed="64"/>
      </top>
      <bottom/>
      <diagonal/>
    </border>
    <border>
      <left style="thick">
        <color indexed="64"/>
      </left>
      <right style="medium">
        <color indexed="64"/>
      </right>
      <top style="medium">
        <color indexed="64"/>
      </top>
      <bottom style="thick">
        <color indexed="64"/>
      </bottom>
      <diagonal/>
    </border>
    <border>
      <left style="thick">
        <color indexed="64"/>
      </left>
      <right/>
      <top style="thin">
        <color indexed="64"/>
      </top>
      <bottom/>
      <diagonal/>
    </border>
    <border>
      <left style="medium">
        <color indexed="64"/>
      </left>
      <right/>
      <top style="thick">
        <color indexed="64"/>
      </top>
      <bottom/>
      <diagonal/>
    </border>
    <border>
      <left style="medium">
        <color indexed="64"/>
      </left>
      <right/>
      <top style="thick">
        <color indexed="64"/>
      </top>
      <bottom style="medium">
        <color indexed="64"/>
      </bottom>
      <diagonal/>
    </border>
    <border>
      <left style="thick">
        <color indexed="64"/>
      </left>
      <right/>
      <top/>
      <bottom style="medium">
        <color indexed="64"/>
      </bottom>
      <diagonal/>
    </border>
    <border>
      <left style="thick">
        <color indexed="64"/>
      </left>
      <right/>
      <top style="medium">
        <color indexed="64"/>
      </top>
      <bottom style="thin">
        <color indexed="64"/>
      </bottom>
      <diagonal/>
    </border>
    <border>
      <left/>
      <right style="medium">
        <color auto="1"/>
      </right>
      <top style="medium">
        <color auto="1"/>
      </top>
      <bottom style="thick">
        <color auto="1"/>
      </bottom>
      <diagonal/>
    </border>
  </borders>
  <cellStyleXfs count="5">
    <xf numFmtId="0" fontId="0" fillId="0" borderId="0"/>
    <xf numFmtId="201" fontId="8" fillId="0" borderId="1" applyFont="0" applyBorder="0" applyProtection="0">
      <alignment horizontal="center" vertical="center"/>
      <protection locked="0"/>
    </xf>
    <xf numFmtId="0" fontId="2" fillId="0" borderId="0" applyNumberFormat="0" applyFill="0" applyBorder="0" applyAlignment="0" applyProtection="0">
      <alignment vertical="top"/>
      <protection locked="0"/>
    </xf>
    <xf numFmtId="164" fontId="1" fillId="0" borderId="0" applyFont="0" applyFill="0" applyBorder="0" applyAlignment="0" applyProtection="0"/>
    <xf numFmtId="9" fontId="79" fillId="0" borderId="0" applyFont="0" applyFill="0" applyBorder="0" applyAlignment="0" applyProtection="0"/>
  </cellStyleXfs>
  <cellXfs count="1196">
    <xf numFmtId="0" fontId="0" fillId="0" borderId="0" xfId="0"/>
    <xf numFmtId="0" fontId="11" fillId="2" borderId="2" xfId="0" applyFont="1" applyFill="1" applyBorder="1" applyAlignment="1">
      <alignment horizontal="center" vertical="center" wrapText="1"/>
    </xf>
    <xf numFmtId="4" fontId="11" fillId="2" borderId="2" xfId="0" applyNumberFormat="1" applyFont="1" applyFill="1" applyBorder="1" applyAlignment="1">
      <alignment horizontal="center" vertical="center"/>
    </xf>
    <xf numFmtId="182" fontId="17" fillId="3" borderId="3" xfId="0" applyNumberFormat="1" applyFont="1" applyFill="1" applyBorder="1" applyAlignment="1">
      <alignment horizontal="center" vertical="center"/>
    </xf>
    <xf numFmtId="182" fontId="17" fillId="3" borderId="4" xfId="0" applyNumberFormat="1" applyFont="1" applyFill="1" applyBorder="1" applyAlignment="1">
      <alignment horizontal="center" vertical="center"/>
    </xf>
    <xf numFmtId="182" fontId="17" fillId="3" borderId="5" xfId="0" applyNumberFormat="1" applyFont="1" applyFill="1" applyBorder="1" applyAlignment="1">
      <alignment horizontal="center" vertical="center"/>
    </xf>
    <xf numFmtId="182" fontId="17" fillId="3" borderId="0" xfId="0" applyNumberFormat="1" applyFont="1" applyFill="1" applyAlignment="1">
      <alignment horizontal="center" vertical="center"/>
    </xf>
    <xf numFmtId="0" fontId="8" fillId="0" borderId="4" xfId="2" applyFont="1" applyFill="1" applyBorder="1" applyAlignment="1" applyProtection="1">
      <alignment horizontal="center" vertical="center" shrinkToFit="1"/>
      <protection locked="0"/>
    </xf>
    <xf numFmtId="0" fontId="9" fillId="0" borderId="4" xfId="0" applyFont="1" applyBorder="1" applyAlignment="1">
      <alignment horizontal="center" vertical="center" shrinkToFit="1"/>
    </xf>
    <xf numFmtId="166" fontId="9" fillId="0" borderId="4" xfId="0" applyNumberFormat="1" applyFont="1" applyBorder="1" applyAlignment="1">
      <alignment horizontal="center" vertical="center" shrinkToFit="1"/>
    </xf>
    <xf numFmtId="166" fontId="9" fillId="0" borderId="5" xfId="0" applyNumberFormat="1" applyFont="1" applyBorder="1" applyAlignment="1">
      <alignment horizontal="center" vertical="center" shrinkToFit="1"/>
    </xf>
    <xf numFmtId="172" fontId="10" fillId="0" borderId="5" xfId="0" applyNumberFormat="1" applyFont="1" applyBorder="1" applyAlignment="1">
      <alignment horizontal="center" vertical="center" shrinkToFit="1"/>
    </xf>
    <xf numFmtId="167" fontId="9" fillId="0" borderId="5" xfId="0" applyNumberFormat="1" applyFont="1" applyBorder="1" applyAlignment="1">
      <alignment horizontal="center" vertical="center" shrinkToFit="1"/>
    </xf>
    <xf numFmtId="0" fontId="10" fillId="0" borderId="0" xfId="0" applyFont="1" applyAlignment="1">
      <alignment horizontal="center" vertical="center" shrinkToFit="1"/>
    </xf>
    <xf numFmtId="167" fontId="9" fillId="0" borderId="7" xfId="0" applyNumberFormat="1" applyFont="1" applyBorder="1" applyAlignment="1">
      <alignment horizontal="center" vertical="center" shrinkToFit="1"/>
    </xf>
    <xf numFmtId="176" fontId="10" fillId="0" borderId="4" xfId="0" applyNumberFormat="1" applyFont="1" applyBorder="1" applyAlignment="1">
      <alignment horizontal="center" vertical="center" shrinkToFit="1"/>
    </xf>
    <xf numFmtId="2" fontId="9" fillId="0" borderId="5" xfId="0" applyNumberFormat="1" applyFont="1" applyBorder="1" applyAlignment="1">
      <alignment horizontal="center" vertical="center" shrinkToFit="1"/>
    </xf>
    <xf numFmtId="2" fontId="10" fillId="0" borderId="0" xfId="0" applyNumberFormat="1" applyFont="1" applyAlignment="1">
      <alignment horizontal="center" vertical="center" shrinkToFit="1"/>
    </xf>
    <xf numFmtId="2" fontId="9" fillId="0" borderId="7" xfId="0" applyNumberFormat="1" applyFont="1" applyBorder="1" applyAlignment="1">
      <alignment horizontal="center" vertical="center" shrinkToFit="1"/>
    </xf>
    <xf numFmtId="172" fontId="10" fillId="0" borderId="4" xfId="0" applyNumberFormat="1" applyFont="1" applyBorder="1" applyAlignment="1">
      <alignment horizontal="center" vertical="center" shrinkToFit="1"/>
    </xf>
    <xf numFmtId="0" fontId="8" fillId="0" borderId="4" xfId="0" applyFont="1" applyBorder="1" applyAlignment="1" applyProtection="1">
      <alignment horizontal="center" vertical="center" shrinkToFit="1"/>
      <protection locked="0"/>
    </xf>
    <xf numFmtId="0" fontId="8" fillId="0" borderId="0" xfId="2" applyFont="1" applyFill="1" applyBorder="1" applyAlignment="1" applyProtection="1">
      <alignment horizontal="center" vertical="center" shrinkToFit="1"/>
      <protection locked="0"/>
    </xf>
    <xf numFmtId="0" fontId="14" fillId="0" borderId="8" xfId="0" applyFont="1" applyBorder="1" applyAlignment="1" applyProtection="1">
      <alignment horizontal="center" vertical="center"/>
      <protection locked="0"/>
    </xf>
    <xf numFmtId="0" fontId="9" fillId="0" borderId="8" xfId="0" applyFont="1" applyBorder="1" applyAlignment="1" applyProtection="1">
      <alignment horizontal="center" vertical="center"/>
      <protection locked="0"/>
    </xf>
    <xf numFmtId="0" fontId="9" fillId="0" borderId="2" xfId="0" applyFont="1" applyBorder="1" applyAlignment="1">
      <alignment horizontal="center" vertical="center" shrinkToFit="1"/>
    </xf>
    <xf numFmtId="166" fontId="9" fillId="0" borderId="2" xfId="0" applyNumberFormat="1" applyFont="1" applyBorder="1" applyAlignment="1">
      <alignment horizontal="center" vertical="center" shrinkToFit="1"/>
    </xf>
    <xf numFmtId="166" fontId="9" fillId="0" borderId="10" xfId="0" applyNumberFormat="1" applyFont="1" applyBorder="1" applyAlignment="1">
      <alignment horizontal="center" vertical="center" shrinkToFit="1"/>
    </xf>
    <xf numFmtId="172" fontId="10" fillId="0" borderId="10" xfId="0" applyNumberFormat="1" applyFont="1" applyBorder="1" applyAlignment="1">
      <alignment horizontal="center" vertical="center" shrinkToFit="1"/>
    </xf>
    <xf numFmtId="167" fontId="9" fillId="0" borderId="10" xfId="0" applyNumberFormat="1" applyFont="1" applyBorder="1" applyAlignment="1">
      <alignment horizontal="center" vertical="center" shrinkToFit="1"/>
    </xf>
    <xf numFmtId="0" fontId="10" fillId="0" borderId="11" xfId="0" applyFont="1" applyBorder="1" applyAlignment="1">
      <alignment horizontal="center" vertical="center" shrinkToFit="1"/>
    </xf>
    <xf numFmtId="167" fontId="9" fillId="0" borderId="12" xfId="0" applyNumberFormat="1" applyFont="1" applyBorder="1" applyAlignment="1">
      <alignment horizontal="center" vertical="center" shrinkToFit="1"/>
    </xf>
    <xf numFmtId="176" fontId="10" fillId="0" borderId="2" xfId="0" applyNumberFormat="1" applyFont="1" applyBorder="1" applyAlignment="1">
      <alignment horizontal="center" vertical="center" shrinkToFit="1"/>
    </xf>
    <xf numFmtId="2" fontId="9" fillId="0" borderId="10" xfId="0" applyNumberFormat="1" applyFont="1" applyBorder="1" applyAlignment="1">
      <alignment horizontal="center" vertical="center" shrinkToFit="1"/>
    </xf>
    <xf numFmtId="2" fontId="10" fillId="0" borderId="11" xfId="0" applyNumberFormat="1" applyFont="1" applyBorder="1" applyAlignment="1">
      <alignment horizontal="center" vertical="center" shrinkToFit="1"/>
    </xf>
    <xf numFmtId="2" fontId="9" fillId="0" borderId="12" xfId="0" applyNumberFormat="1" applyFont="1" applyBorder="1" applyAlignment="1">
      <alignment horizontal="center" vertical="center" shrinkToFit="1"/>
    </xf>
    <xf numFmtId="182" fontId="17" fillId="3" borderId="11" xfId="0" applyNumberFormat="1" applyFont="1" applyFill="1" applyBorder="1" applyAlignment="1">
      <alignment horizontal="center" vertical="center"/>
    </xf>
    <xf numFmtId="182" fontId="17" fillId="3" borderId="2" xfId="0" applyNumberFormat="1" applyFont="1" applyFill="1" applyBorder="1" applyAlignment="1">
      <alignment horizontal="center" vertical="center"/>
    </xf>
    <xf numFmtId="182" fontId="17" fillId="3" borderId="10" xfId="0" applyNumberFormat="1" applyFont="1" applyFill="1" applyBorder="1" applyAlignment="1">
      <alignment horizontal="center" vertical="center"/>
    </xf>
    <xf numFmtId="0" fontId="14" fillId="0" borderId="13" xfId="0" applyFont="1" applyBorder="1" applyAlignment="1" applyProtection="1">
      <alignment horizontal="center" vertical="center"/>
      <protection locked="0"/>
    </xf>
    <xf numFmtId="0" fontId="8" fillId="0" borderId="8" xfId="2" applyFont="1" applyFill="1" applyBorder="1" applyAlignment="1" applyProtection="1">
      <alignment horizontal="center" vertical="center"/>
      <protection locked="0"/>
    </xf>
    <xf numFmtId="0" fontId="0" fillId="0" borderId="0" xfId="0" applyAlignment="1">
      <alignment horizontal="center" vertical="center" wrapText="1"/>
    </xf>
    <xf numFmtId="0" fontId="8" fillId="0" borderId="4" xfId="0" applyFont="1" applyBorder="1" applyAlignment="1" applyProtection="1">
      <alignment horizontal="center" vertical="center"/>
      <protection locked="0"/>
    </xf>
    <xf numFmtId="167" fontId="9" fillId="0" borderId="0" xfId="0" applyNumberFormat="1" applyFont="1" applyAlignment="1">
      <alignment horizontal="center" vertical="center" shrinkToFit="1"/>
    </xf>
    <xf numFmtId="0" fontId="10" fillId="0" borderId="14" xfId="0" applyFont="1" applyBorder="1" applyAlignment="1">
      <alignment horizontal="center" vertical="center" wrapText="1" shrinkToFit="1"/>
    </xf>
    <xf numFmtId="0" fontId="9" fillId="0" borderId="18" xfId="0" applyFont="1" applyBorder="1" applyAlignment="1">
      <alignment horizontal="center" vertical="center"/>
    </xf>
    <xf numFmtId="0" fontId="0" fillId="0" borderId="14" xfId="0" applyBorder="1" applyAlignment="1">
      <alignment horizontal="center" vertical="center"/>
    </xf>
    <xf numFmtId="0" fontId="0" fillId="0" borderId="19" xfId="0" applyBorder="1" applyAlignment="1">
      <alignment horizontal="center" vertical="center"/>
    </xf>
    <xf numFmtId="0" fontId="10" fillId="0" borderId="0" xfId="0" applyFont="1" applyAlignment="1">
      <alignment horizontal="center" vertical="center"/>
    </xf>
    <xf numFmtId="0" fontId="10" fillId="0" borderId="18" xfId="0" applyFont="1" applyBorder="1" applyAlignment="1">
      <alignment horizontal="center" vertical="center"/>
    </xf>
    <xf numFmtId="0" fontId="10" fillId="0" borderId="14" xfId="0" applyFont="1" applyBorder="1" applyAlignment="1">
      <alignment horizontal="center" vertical="center"/>
    </xf>
    <xf numFmtId="0" fontId="14" fillId="0" borderId="0" xfId="0" applyFont="1" applyAlignment="1">
      <alignment horizontal="center" vertical="center"/>
    </xf>
    <xf numFmtId="0" fontId="8" fillId="0" borderId="0" xfId="2" applyFont="1" applyAlignment="1" applyProtection="1">
      <alignment horizontal="center" vertical="center"/>
    </xf>
    <xf numFmtId="0" fontId="6" fillId="0" borderId="14" xfId="0" applyFont="1" applyBorder="1" applyAlignment="1">
      <alignment horizontal="center" vertical="center"/>
    </xf>
    <xf numFmtId="0" fontId="8" fillId="0" borderId="4" xfId="2" quotePrefix="1" applyFont="1" applyBorder="1" applyAlignment="1" applyProtection="1">
      <alignment horizontal="center" vertical="center"/>
    </xf>
    <xf numFmtId="0" fontId="10" fillId="0" borderId="19" xfId="0" applyFont="1" applyBorder="1" applyAlignment="1">
      <alignment horizontal="center" vertical="center"/>
    </xf>
    <xf numFmtId="0" fontId="4" fillId="0" borderId="0" xfId="0" applyFont="1" applyAlignment="1">
      <alignment horizontal="center" vertical="center"/>
    </xf>
    <xf numFmtId="182" fontId="17" fillId="3" borderId="20" xfId="0" applyNumberFormat="1" applyFont="1" applyFill="1" applyBorder="1" applyAlignment="1">
      <alignment horizontal="center" vertical="center"/>
    </xf>
    <xf numFmtId="3" fontId="17" fillId="3" borderId="7" xfId="0" applyNumberFormat="1" applyFont="1" applyFill="1" applyBorder="1" applyAlignment="1">
      <alignment horizontal="center" vertical="center"/>
    </xf>
    <xf numFmtId="182" fontId="17" fillId="3" borderId="22" xfId="0" applyNumberFormat="1" applyFont="1" applyFill="1" applyBorder="1" applyAlignment="1">
      <alignment horizontal="center" vertical="center"/>
    </xf>
    <xf numFmtId="3" fontId="17" fillId="3" borderId="12" xfId="0" applyNumberFormat="1" applyFont="1" applyFill="1" applyBorder="1" applyAlignment="1">
      <alignment horizontal="center" vertical="center"/>
    </xf>
    <xf numFmtId="0" fontId="9" fillId="0" borderId="0" xfId="0" applyFont="1" applyAlignment="1">
      <alignment horizontal="center" vertical="center"/>
    </xf>
    <xf numFmtId="192" fontId="20" fillId="0" borderId="0" xfId="0" applyNumberFormat="1" applyFont="1" applyAlignment="1">
      <alignment horizontal="center" vertical="center"/>
    </xf>
    <xf numFmtId="0" fontId="14" fillId="3" borderId="8" xfId="0" quotePrefix="1" applyFont="1" applyFill="1" applyBorder="1" applyAlignment="1">
      <alignment horizontal="center" wrapText="1"/>
    </xf>
    <xf numFmtId="0" fontId="22" fillId="3" borderId="24" xfId="0" applyFont="1" applyFill="1" applyBorder="1" applyAlignment="1">
      <alignment horizontal="left" vertical="center"/>
    </xf>
    <xf numFmtId="0" fontId="10" fillId="0" borderId="0" xfId="0" applyFont="1"/>
    <xf numFmtId="0" fontId="22" fillId="3" borderId="20" xfId="0" applyFont="1" applyFill="1" applyBorder="1" applyAlignment="1">
      <alignment horizontal="left" vertical="center"/>
    </xf>
    <xf numFmtId="0" fontId="14" fillId="3" borderId="20" xfId="0" applyFont="1" applyFill="1" applyBorder="1" applyAlignment="1">
      <alignment horizontal="center" vertical="center"/>
    </xf>
    <xf numFmtId="0" fontId="14" fillId="3" borderId="0" xfId="0" applyFont="1" applyFill="1" applyAlignment="1">
      <alignment horizontal="center" vertical="center"/>
    </xf>
    <xf numFmtId="0" fontId="9" fillId="0" borderId="0" xfId="0" applyFont="1"/>
    <xf numFmtId="0" fontId="22" fillId="3" borderId="8" xfId="0" applyFont="1" applyFill="1" applyBorder="1"/>
    <xf numFmtId="0" fontId="14" fillId="3" borderId="0" xfId="0" applyFont="1" applyFill="1" applyAlignment="1">
      <alignment vertical="center"/>
    </xf>
    <xf numFmtId="0" fontId="10" fillId="0" borderId="0" xfId="0" applyFont="1" applyAlignment="1">
      <alignment vertical="center"/>
    </xf>
    <xf numFmtId="0" fontId="10" fillId="0" borderId="0" xfId="0" applyFont="1" applyAlignment="1">
      <alignment horizontal="justify" vertical="top"/>
    </xf>
    <xf numFmtId="214" fontId="10" fillId="0" borderId="0" xfId="0" applyNumberFormat="1" applyFont="1"/>
    <xf numFmtId="0" fontId="34" fillId="3" borderId="0" xfId="0" applyFont="1" applyFill="1" applyAlignment="1">
      <alignment vertical="center"/>
    </xf>
    <xf numFmtId="0" fontId="34" fillId="3" borderId="0" xfId="0" applyFont="1" applyFill="1" applyAlignment="1">
      <alignment horizontal="left" vertical="center"/>
    </xf>
    <xf numFmtId="0" fontId="34" fillId="3" borderId="0" xfId="0" applyFont="1" applyFill="1" applyAlignment="1">
      <alignment horizontal="center" vertical="center"/>
    </xf>
    <xf numFmtId="0" fontId="38" fillId="3" borderId="20" xfId="0" applyFont="1" applyFill="1" applyBorder="1" applyAlignment="1">
      <alignment horizontal="left" vertical="center"/>
    </xf>
    <xf numFmtId="0" fontId="34" fillId="3" borderId="20" xfId="0" applyFont="1" applyFill="1" applyBorder="1" applyAlignment="1">
      <alignment horizontal="center" vertical="center"/>
    </xf>
    <xf numFmtId="0" fontId="34" fillId="3" borderId="8" xfId="0" applyFont="1" applyFill="1" applyBorder="1"/>
    <xf numFmtId="0" fontId="39" fillId="3" borderId="8" xfId="2" applyFont="1" applyFill="1" applyBorder="1" applyAlignment="1" applyProtection="1">
      <alignment horizontal="center" vertical="center"/>
    </xf>
    <xf numFmtId="0" fontId="35" fillId="3" borderId="8" xfId="2" applyFont="1" applyFill="1" applyBorder="1" applyAlignment="1" applyProtection="1">
      <alignment horizontal="center" vertical="center"/>
    </xf>
    <xf numFmtId="0" fontId="34" fillId="3" borderId="8" xfId="0" applyFont="1" applyFill="1" applyBorder="1" applyAlignment="1">
      <alignment horizontal="center" vertical="center"/>
    </xf>
    <xf numFmtId="0" fontId="38" fillId="3" borderId="8" xfId="0" applyFont="1" applyFill="1" applyBorder="1"/>
    <xf numFmtId="0" fontId="14" fillId="3" borderId="0" xfId="0" applyFont="1" applyFill="1" applyAlignment="1">
      <alignment horizontal="left" vertical="center" shrinkToFit="1"/>
    </xf>
    <xf numFmtId="0" fontId="23" fillId="3" borderId="20" xfId="0" applyFont="1" applyFill="1" applyBorder="1" applyAlignment="1">
      <alignment horizontal="center" vertical="center"/>
    </xf>
    <xf numFmtId="0" fontId="23" fillId="3" borderId="8" xfId="0" quotePrefix="1" applyFont="1" applyFill="1" applyBorder="1" applyAlignment="1">
      <alignment horizontal="center" wrapText="1"/>
    </xf>
    <xf numFmtId="0" fontId="4" fillId="0" borderId="0" xfId="0" applyFont="1"/>
    <xf numFmtId="0" fontId="24" fillId="0" borderId="14" xfId="0" applyFont="1" applyBorder="1" applyAlignment="1">
      <alignment horizontal="center" vertical="center" shrinkToFit="1"/>
    </xf>
    <xf numFmtId="176" fontId="10" fillId="0" borderId="0" xfId="0" applyNumberFormat="1" applyFont="1" applyAlignment="1">
      <alignment horizontal="center" vertical="center" shrinkToFit="1"/>
    </xf>
    <xf numFmtId="0" fontId="8" fillId="0" borderId="0" xfId="2" applyFont="1" applyBorder="1" applyAlignment="1" applyProtection="1">
      <alignment horizontal="center" vertical="center"/>
    </xf>
    <xf numFmtId="0" fontId="2" fillId="0" borderId="14" xfId="2" applyBorder="1" applyAlignment="1" applyProtection="1">
      <alignment horizontal="center" vertical="center"/>
    </xf>
    <xf numFmtId="0" fontId="33" fillId="0" borderId="0" xfId="0" applyFont="1" applyAlignment="1">
      <alignment horizontal="center" vertical="center"/>
    </xf>
    <xf numFmtId="0" fontId="45" fillId="3" borderId="8" xfId="0" quotePrefix="1" applyFont="1" applyFill="1" applyBorder="1" applyAlignment="1">
      <alignment horizontal="center" wrapText="1"/>
    </xf>
    <xf numFmtId="0" fontId="47" fillId="3" borderId="8" xfId="0" quotePrefix="1" applyFont="1" applyFill="1" applyBorder="1" applyAlignment="1">
      <alignment horizontal="center" vertical="center" wrapText="1"/>
    </xf>
    <xf numFmtId="0" fontId="7" fillId="3" borderId="8" xfId="0" applyFont="1" applyFill="1" applyBorder="1" applyAlignment="1">
      <alignment horizontal="justify"/>
    </xf>
    <xf numFmtId="0" fontId="7" fillId="3" borderId="8" xfId="0" applyFont="1" applyFill="1" applyBorder="1" applyAlignment="1">
      <alignment horizontal="justify" vertical="top"/>
    </xf>
    <xf numFmtId="0" fontId="45" fillId="3" borderId="8" xfId="0" applyFont="1" applyFill="1" applyBorder="1"/>
    <xf numFmtId="0" fontId="7" fillId="7" borderId="8" xfId="0" applyFont="1" applyFill="1" applyBorder="1" applyAlignment="1">
      <alignment horizontal="left" vertical="center"/>
    </xf>
    <xf numFmtId="0" fontId="49" fillId="0" borderId="0" xfId="0" applyFont="1" applyAlignment="1">
      <alignment vertical="center"/>
    </xf>
    <xf numFmtId="0" fontId="40" fillId="0" borderId="0" xfId="0" applyFont="1" applyAlignment="1">
      <alignment vertical="center"/>
    </xf>
    <xf numFmtId="0" fontId="51" fillId="0" borderId="0" xfId="0" applyFont="1" applyAlignment="1">
      <alignment vertical="center"/>
    </xf>
    <xf numFmtId="0" fontId="50" fillId="0" borderId="0" xfId="0" applyFont="1" applyAlignment="1">
      <alignment horizontal="center" vertical="center"/>
    </xf>
    <xf numFmtId="0" fontId="52" fillId="0" borderId="0" xfId="0" applyFont="1" applyAlignment="1">
      <alignment horizontal="center" vertical="center"/>
    </xf>
    <xf numFmtId="236" fontId="53" fillId="3" borderId="0" xfId="0" applyNumberFormat="1" applyFont="1" applyFill="1" applyAlignment="1">
      <alignment horizontal="center" vertical="center"/>
    </xf>
    <xf numFmtId="0" fontId="53" fillId="3" borderId="0" xfId="0" applyFont="1" applyFill="1" applyAlignment="1">
      <alignment horizontal="center" vertical="center"/>
    </xf>
    <xf numFmtId="0" fontId="54" fillId="3" borderId="0" xfId="0" applyFont="1" applyFill="1" applyAlignment="1">
      <alignment horizontal="center" vertical="center" wrapText="1"/>
    </xf>
    <xf numFmtId="181" fontId="54" fillId="3" borderId="0" xfId="0" applyNumberFormat="1" applyFont="1" applyFill="1" applyAlignment="1">
      <alignment horizontal="center" vertical="center" shrinkToFit="1"/>
    </xf>
    <xf numFmtId="0" fontId="53" fillId="3" borderId="0" xfId="0" applyFont="1" applyFill="1" applyAlignment="1" applyProtection="1">
      <alignment horizontal="center" vertical="center"/>
      <protection hidden="1"/>
    </xf>
    <xf numFmtId="0" fontId="54" fillId="3" borderId="0" xfId="0" applyFont="1" applyFill="1" applyAlignment="1">
      <alignment vertical="center"/>
    </xf>
    <xf numFmtId="0" fontId="55" fillId="3" borderId="0" xfId="0" applyFont="1" applyFill="1" applyAlignment="1">
      <alignment horizontal="center" vertical="center"/>
    </xf>
    <xf numFmtId="9" fontId="65" fillId="3" borderId="0" xfId="0" applyNumberFormat="1" applyFont="1" applyFill="1" applyAlignment="1">
      <alignment horizontal="center" vertical="center" shrinkToFit="1"/>
    </xf>
    <xf numFmtId="0" fontId="54" fillId="3" borderId="0" xfId="0" applyFont="1" applyFill="1" applyAlignment="1">
      <alignment horizontal="center" vertical="center"/>
    </xf>
    <xf numFmtId="0" fontId="53" fillId="6" borderId="0" xfId="0" applyFont="1" applyFill="1" applyAlignment="1">
      <alignment horizontal="center" vertical="center"/>
    </xf>
    <xf numFmtId="0" fontId="66" fillId="3" borderId="0" xfId="0" applyFont="1" applyFill="1" applyAlignment="1">
      <alignment horizontal="center" vertical="center"/>
    </xf>
    <xf numFmtId="0" fontId="68" fillId="3" borderId="0" xfId="0" applyFont="1" applyFill="1" applyAlignment="1">
      <alignment horizontal="center" vertical="center"/>
    </xf>
    <xf numFmtId="190" fontId="54" fillId="3" borderId="0" xfId="0" applyNumberFormat="1" applyFont="1" applyFill="1" applyAlignment="1">
      <alignment horizontal="left" vertical="center" shrinkToFit="1"/>
    </xf>
    <xf numFmtId="0" fontId="20" fillId="3" borderId="0" xfId="0" applyFont="1" applyFill="1" applyAlignment="1">
      <alignment vertical="center"/>
    </xf>
    <xf numFmtId="188" fontId="27" fillId="3" borderId="0" xfId="0" applyNumberFormat="1" applyFont="1" applyFill="1" applyAlignment="1">
      <alignment horizontal="left" vertical="center"/>
    </xf>
    <xf numFmtId="0" fontId="68" fillId="3" borderId="0" xfId="0" applyFont="1" applyFill="1" applyAlignment="1">
      <alignment horizontal="left" vertical="center"/>
    </xf>
    <xf numFmtId="0" fontId="54" fillId="3" borderId="0" xfId="0" applyFont="1" applyFill="1" applyAlignment="1">
      <alignment horizontal="justify" vertical="center" wrapText="1"/>
    </xf>
    <xf numFmtId="197" fontId="71" fillId="3" borderId="0" xfId="0" applyNumberFormat="1" applyFont="1" applyFill="1" applyAlignment="1">
      <alignment horizontal="left" vertical="center"/>
    </xf>
    <xf numFmtId="0" fontId="20" fillId="6" borderId="0" xfId="0" applyFont="1" applyFill="1" applyAlignment="1">
      <alignment horizontal="center" vertical="center" shrinkToFit="1"/>
    </xf>
    <xf numFmtId="0" fontId="54" fillId="6" borderId="0" xfId="0" applyFont="1" applyFill="1" applyAlignment="1">
      <alignment vertical="center"/>
    </xf>
    <xf numFmtId="180" fontId="53" fillId="6" borderId="0" xfId="0" applyNumberFormat="1" applyFont="1" applyFill="1" applyAlignment="1">
      <alignment horizontal="center" vertical="center" shrinkToFit="1"/>
    </xf>
    <xf numFmtId="0" fontId="70" fillId="3" borderId="55" xfId="0" applyFont="1" applyFill="1" applyBorder="1" applyAlignment="1">
      <alignment horizontal="center" vertical="center"/>
    </xf>
    <xf numFmtId="0" fontId="70" fillId="3" borderId="56" xfId="0" applyFont="1" applyFill="1" applyBorder="1" applyAlignment="1">
      <alignment horizontal="center" vertical="center"/>
    </xf>
    <xf numFmtId="2" fontId="70" fillId="3" borderId="57" xfId="0" applyNumberFormat="1" applyFont="1" applyFill="1" applyBorder="1" applyAlignment="1">
      <alignment horizontal="center" vertical="center"/>
    </xf>
    <xf numFmtId="0" fontId="70" fillId="3" borderId="58" xfId="0" applyFont="1" applyFill="1" applyBorder="1" applyAlignment="1">
      <alignment horizontal="center" vertical="center"/>
    </xf>
    <xf numFmtId="0" fontId="70" fillId="3" borderId="59" xfId="0" applyFont="1" applyFill="1" applyBorder="1" applyAlignment="1">
      <alignment horizontal="center" vertical="center"/>
    </xf>
    <xf numFmtId="2" fontId="70" fillId="3" borderId="60" xfId="0" applyNumberFormat="1" applyFont="1" applyFill="1" applyBorder="1" applyAlignment="1">
      <alignment horizontal="center" vertical="center"/>
    </xf>
    <xf numFmtId="0" fontId="70" fillId="3" borderId="61" xfId="0" applyFont="1" applyFill="1" applyBorder="1" applyAlignment="1">
      <alignment horizontal="center" vertical="center"/>
    </xf>
    <xf numFmtId="0" fontId="70" fillId="3" borderId="62" xfId="0" applyFont="1" applyFill="1" applyBorder="1" applyAlignment="1">
      <alignment horizontal="center" vertical="center"/>
    </xf>
    <xf numFmtId="2" fontId="70" fillId="3" borderId="63" xfId="0" applyNumberFormat="1" applyFont="1" applyFill="1" applyBorder="1" applyAlignment="1">
      <alignment horizontal="center" vertical="center"/>
    </xf>
    <xf numFmtId="2" fontId="51" fillId="0" borderId="0" xfId="0" applyNumberFormat="1" applyFont="1" applyAlignment="1">
      <alignment vertical="center"/>
    </xf>
    <xf numFmtId="0" fontId="55" fillId="6" borderId="11" xfId="0" applyFont="1" applyFill="1" applyBorder="1" applyAlignment="1">
      <alignment horizontal="center" vertical="center"/>
    </xf>
    <xf numFmtId="0" fontId="50" fillId="6" borderId="0" xfId="0" applyFont="1" applyFill="1" applyAlignment="1">
      <alignment horizontal="center" vertical="center"/>
    </xf>
    <xf numFmtId="0" fontId="41" fillId="0" borderId="0" xfId="0" applyFont="1" applyAlignment="1">
      <alignment vertical="center"/>
    </xf>
    <xf numFmtId="0" fontId="0" fillId="0" borderId="0" xfId="0" applyAlignment="1">
      <alignment vertical="center"/>
    </xf>
    <xf numFmtId="229" fontId="7" fillId="0" borderId="0" xfId="0" applyNumberFormat="1" applyFont="1" applyAlignment="1">
      <alignment horizontal="center" vertical="center"/>
    </xf>
    <xf numFmtId="0" fontId="7" fillId="7" borderId="13" xfId="0" applyFont="1" applyFill="1" applyBorder="1" applyAlignment="1">
      <alignment horizontal="left" vertical="center"/>
    </xf>
    <xf numFmtId="0" fontId="75" fillId="2" borderId="6" xfId="0" applyFont="1" applyFill="1" applyBorder="1" applyAlignment="1" applyProtection="1">
      <alignment horizontal="center" vertical="center" shrinkToFit="1"/>
      <protection locked="0"/>
    </xf>
    <xf numFmtId="0" fontId="75" fillId="2" borderId="6" xfId="2" applyFont="1" applyFill="1" applyBorder="1" applyAlignment="1" applyProtection="1">
      <alignment horizontal="center" vertical="center" shrinkToFit="1"/>
      <protection locked="0"/>
    </xf>
    <xf numFmtId="0" fontId="75" fillId="2" borderId="9" xfId="0" applyFont="1" applyFill="1" applyBorder="1" applyAlignment="1" applyProtection="1">
      <alignment horizontal="center" vertical="center" shrinkToFit="1"/>
      <protection locked="0"/>
    </xf>
    <xf numFmtId="0" fontId="76" fillId="0" borderId="4" xfId="2" applyFont="1" applyFill="1" applyBorder="1" applyAlignment="1" applyProtection="1">
      <alignment horizontal="center" vertical="center" shrinkToFit="1"/>
      <protection locked="0"/>
    </xf>
    <xf numFmtId="0" fontId="77" fillId="0" borderId="4" xfId="2" applyFont="1" applyFill="1" applyBorder="1" applyAlignment="1" applyProtection="1">
      <alignment horizontal="center" vertical="center" shrinkToFit="1"/>
      <protection locked="0"/>
    </xf>
    <xf numFmtId="0" fontId="52" fillId="0" borderId="0" xfId="0" applyFont="1" applyAlignment="1">
      <alignment horizontal="right" vertical="center"/>
    </xf>
    <xf numFmtId="0" fontId="52" fillId="0" borderId="0" xfId="0" quotePrefix="1" applyFont="1" applyAlignment="1">
      <alignment horizontal="right" vertical="center"/>
    </xf>
    <xf numFmtId="0" fontId="52" fillId="0" borderId="0" xfId="0" quotePrefix="1" applyFont="1" applyAlignment="1">
      <alignment horizontal="left" vertical="center"/>
    </xf>
    <xf numFmtId="0" fontId="78" fillId="3" borderId="20" xfId="0" applyFont="1" applyFill="1" applyBorder="1" applyAlignment="1">
      <alignment horizontal="left" vertical="center"/>
    </xf>
    <xf numFmtId="0" fontId="6" fillId="0" borderId="0" xfId="0" applyFont="1"/>
    <xf numFmtId="0" fontId="6" fillId="0" borderId="0" xfId="0" applyFont="1" applyAlignment="1">
      <alignment horizontal="justify"/>
    </xf>
    <xf numFmtId="0" fontId="45" fillId="3" borderId="20" xfId="0" applyFont="1" applyFill="1" applyBorder="1" applyAlignment="1">
      <alignment horizontal="center" vertical="center"/>
    </xf>
    <xf numFmtId="0" fontId="6" fillId="0" borderId="0" xfId="0" applyFont="1" applyAlignment="1">
      <alignment horizontal="justify" vertical="center"/>
    </xf>
    <xf numFmtId="216" fontId="6" fillId="0" borderId="0" xfId="0" applyNumberFormat="1" applyFont="1"/>
    <xf numFmtId="0" fontId="34" fillId="3" borderId="0" xfId="0" applyFont="1" applyFill="1" applyAlignment="1">
      <alignment horizontal="justify" vertical="center" wrapText="1"/>
    </xf>
    <xf numFmtId="0" fontId="21" fillId="3" borderId="0" xfId="0" applyFont="1" applyFill="1" applyAlignment="1">
      <alignment horizontal="center" vertical="center" wrapText="1"/>
    </xf>
    <xf numFmtId="0" fontId="38" fillId="3" borderId="0" xfId="0" applyFont="1" applyFill="1" applyAlignment="1">
      <alignment horizontal="justify" vertical="center" wrapText="1"/>
    </xf>
    <xf numFmtId="0" fontId="37" fillId="3" borderId="3" xfId="0" applyFont="1" applyFill="1" applyBorder="1" applyAlignment="1">
      <alignment horizontal="center" vertical="center" wrapText="1"/>
    </xf>
    <xf numFmtId="214" fontId="37" fillId="3" borderId="3" xfId="0" applyNumberFormat="1" applyFont="1" applyFill="1" applyBorder="1" applyAlignment="1">
      <alignment horizontal="center" vertical="center" wrapText="1"/>
    </xf>
    <xf numFmtId="0" fontId="34" fillId="3" borderId="3" xfId="0" applyFont="1" applyFill="1" applyBorder="1" applyAlignment="1">
      <alignment vertical="center"/>
    </xf>
    <xf numFmtId="235" fontId="43" fillId="0" borderId="0" xfId="0" applyNumberFormat="1" applyFont="1"/>
    <xf numFmtId="0" fontId="78" fillId="3" borderId="22" xfId="0" applyFont="1" applyFill="1" applyBorder="1" applyAlignment="1">
      <alignment horizontal="left" vertical="center"/>
    </xf>
    <xf numFmtId="0" fontId="7" fillId="6" borderId="11" xfId="0" applyFont="1" applyFill="1" applyBorder="1" applyAlignment="1">
      <alignment horizontal="left" vertical="center"/>
    </xf>
    <xf numFmtId="0" fontId="7" fillId="6" borderId="11" xfId="0" quotePrefix="1" applyFont="1" applyFill="1" applyBorder="1" applyAlignment="1">
      <alignment horizontal="left" vertical="center" wrapText="1"/>
    </xf>
    <xf numFmtId="0" fontId="6" fillId="6" borderId="11" xfId="0" applyFont="1" applyFill="1" applyBorder="1" applyAlignment="1">
      <alignment horizontal="left" vertical="center" wrapText="1"/>
    </xf>
    <xf numFmtId="0" fontId="44" fillId="6" borderId="11" xfId="2" applyNumberFormat="1" applyFont="1" applyFill="1" applyBorder="1" applyAlignment="1" applyProtection="1">
      <alignment horizontal="left" vertical="center" shrinkToFit="1"/>
    </xf>
    <xf numFmtId="0" fontId="6" fillId="6" borderId="11" xfId="0" applyFont="1" applyFill="1" applyBorder="1" applyAlignment="1">
      <alignment horizontal="left" vertical="center" shrinkToFit="1"/>
    </xf>
    <xf numFmtId="0" fontId="38" fillId="3" borderId="0" xfId="0" applyFont="1" applyFill="1" applyAlignment="1">
      <alignment vertical="center"/>
    </xf>
    <xf numFmtId="0" fontId="2" fillId="3" borderId="0" xfId="2" applyFill="1" applyAlignment="1" applyProtection="1">
      <alignment horizontal="justify" vertical="center" wrapText="1"/>
    </xf>
    <xf numFmtId="0" fontId="21" fillId="3" borderId="3" xfId="0" quotePrefix="1" applyFont="1" applyFill="1" applyBorder="1" applyAlignment="1">
      <alignment horizontal="left" vertical="center"/>
    </xf>
    <xf numFmtId="0" fontId="82" fillId="3" borderId="0" xfId="2" applyFont="1" applyFill="1" applyBorder="1" applyAlignment="1" applyProtection="1">
      <alignment horizontal="center" vertical="center"/>
    </xf>
    <xf numFmtId="0" fontId="32" fillId="3" borderId="0" xfId="0" applyFont="1" applyFill="1" applyAlignment="1">
      <alignment horizontal="center"/>
    </xf>
    <xf numFmtId="0" fontId="27" fillId="3" borderId="20" xfId="0" applyFont="1" applyFill="1" applyBorder="1" applyAlignment="1">
      <alignment horizontal="left" vertical="center"/>
    </xf>
    <xf numFmtId="0" fontId="53" fillId="7" borderId="8" xfId="0" applyFont="1" applyFill="1" applyBorder="1" applyAlignment="1">
      <alignment horizontal="left" vertical="center"/>
    </xf>
    <xf numFmtId="0" fontId="54" fillId="0" borderId="0" xfId="0" applyFont="1"/>
    <xf numFmtId="0" fontId="54" fillId="0" borderId="0" xfId="0" applyFont="1" applyAlignment="1">
      <alignment horizontal="center" vertical="top" wrapText="1"/>
    </xf>
    <xf numFmtId="0" fontId="54" fillId="6" borderId="0" xfId="0" applyFont="1" applyFill="1" applyAlignment="1">
      <alignment horizontal="center" vertical="top" wrapText="1"/>
    </xf>
    <xf numFmtId="0" fontId="80" fillId="3" borderId="20" xfId="0" applyFont="1" applyFill="1" applyBorder="1" applyAlignment="1">
      <alignment horizontal="left" vertical="center"/>
    </xf>
    <xf numFmtId="0" fontId="80" fillId="3" borderId="8" xfId="0" applyFont="1" applyFill="1" applyBorder="1"/>
    <xf numFmtId="0" fontId="53" fillId="0" borderId="0" xfId="0" applyFont="1"/>
    <xf numFmtId="0" fontId="32" fillId="3" borderId="108" xfId="0" applyFont="1" applyFill="1" applyBorder="1" applyAlignment="1">
      <alignment horizontal="center" vertical="top"/>
    </xf>
    <xf numFmtId="0" fontId="80" fillId="3" borderId="0" xfId="0" applyFont="1" applyFill="1" applyAlignment="1">
      <alignment horizontal="left" vertical="center"/>
    </xf>
    <xf numFmtId="216" fontId="54" fillId="0" borderId="0" xfId="0" applyNumberFormat="1" applyFont="1"/>
    <xf numFmtId="0" fontId="27" fillId="3" borderId="20" xfId="0" applyFont="1" applyFill="1" applyBorder="1" applyAlignment="1">
      <alignment horizontal="left"/>
    </xf>
    <xf numFmtId="0" fontId="53" fillId="7" borderId="8" xfId="0" applyFont="1" applyFill="1" applyBorder="1" applyAlignment="1">
      <alignment horizontal="left"/>
    </xf>
    <xf numFmtId="0" fontId="20" fillId="0" borderId="0" xfId="0" applyFont="1"/>
    <xf numFmtId="214" fontId="20" fillId="0" borderId="0" xfId="0" applyNumberFormat="1" applyFont="1"/>
    <xf numFmtId="0" fontId="60" fillId="0" borderId="0" xfId="0" applyFont="1" applyAlignment="1">
      <alignment vertical="center"/>
    </xf>
    <xf numFmtId="0" fontId="60" fillId="0" borderId="0" xfId="0" applyFont="1"/>
    <xf numFmtId="0" fontId="0" fillId="0" borderId="0" xfId="0" applyAlignment="1">
      <alignment horizontal="center" vertical="center"/>
    </xf>
    <xf numFmtId="14" fontId="59" fillId="0" borderId="0" xfId="0" applyNumberFormat="1" applyFont="1" applyAlignment="1">
      <alignment vertical="center"/>
    </xf>
    <xf numFmtId="0" fontId="59" fillId="0" borderId="0" xfId="0" applyFont="1" applyAlignment="1">
      <alignment vertical="center"/>
    </xf>
    <xf numFmtId="14" fontId="59" fillId="0" borderId="0" xfId="0" applyNumberFormat="1" applyFont="1" applyAlignment="1">
      <alignment horizontal="left" vertical="center"/>
    </xf>
    <xf numFmtId="0" fontId="42" fillId="0" borderId="0" xfId="0" applyFont="1" applyAlignment="1">
      <alignment horizontal="center" vertical="center"/>
    </xf>
    <xf numFmtId="0" fontId="59" fillId="0" borderId="0" xfId="0" applyFont="1" applyAlignment="1">
      <alignment horizontal="left" vertical="center"/>
    </xf>
    <xf numFmtId="0" fontId="41" fillId="0" borderId="0" xfId="0" applyFont="1" applyAlignment="1">
      <alignment horizontal="center" vertical="center"/>
    </xf>
    <xf numFmtId="0" fontId="81" fillId="0" borderId="0" xfId="0" applyFont="1" applyAlignment="1">
      <alignment vertical="center"/>
    </xf>
    <xf numFmtId="0" fontId="6" fillId="0" borderId="0" xfId="0" applyFont="1" applyAlignment="1">
      <alignment vertical="center"/>
    </xf>
    <xf numFmtId="0" fontId="7" fillId="6" borderId="0" xfId="0" applyFont="1" applyFill="1" applyAlignment="1">
      <alignment horizontal="center" vertical="center"/>
    </xf>
    <xf numFmtId="0" fontId="7" fillId="3" borderId="0" xfId="0" applyFont="1" applyFill="1" applyAlignment="1">
      <alignment horizontal="center" vertical="center"/>
    </xf>
    <xf numFmtId="236" fontId="99" fillId="3" borderId="0" xfId="0" applyNumberFormat="1" applyFont="1" applyFill="1" applyAlignment="1">
      <alignment horizontal="center" vertical="center"/>
    </xf>
    <xf numFmtId="0" fontId="100" fillId="0" borderId="0" xfId="0" applyFont="1" applyAlignment="1">
      <alignment vertical="center"/>
    </xf>
    <xf numFmtId="0" fontId="80" fillId="3" borderId="0" xfId="0" applyFont="1" applyFill="1" applyAlignment="1">
      <alignment horizontal="left" vertical="center" shrinkToFit="1"/>
    </xf>
    <xf numFmtId="180" fontId="7" fillId="6" borderId="0" xfId="0" applyNumberFormat="1" applyFont="1" applyFill="1" applyAlignment="1">
      <alignment horizontal="center" vertical="center" shrinkToFit="1"/>
    </xf>
    <xf numFmtId="0" fontId="20" fillId="3" borderId="0" xfId="0" applyFont="1" applyFill="1" applyAlignment="1">
      <alignment horizontal="justify" vertical="center" wrapText="1"/>
    </xf>
    <xf numFmtId="0" fontId="20" fillId="3" borderId="0" xfId="0" applyFont="1" applyFill="1" applyAlignment="1">
      <alignment horizontal="left" vertical="center" shrinkToFit="1"/>
    </xf>
    <xf numFmtId="0" fontId="20" fillId="6" borderId="0" xfId="0" applyFont="1" applyFill="1" applyAlignment="1">
      <alignment horizontal="center" vertical="center"/>
    </xf>
    <xf numFmtId="193" fontId="61" fillId="3" borderId="0" xfId="0" applyNumberFormat="1" applyFont="1" applyFill="1" applyAlignment="1">
      <alignment horizontal="center" vertical="center" shrinkToFit="1"/>
    </xf>
    <xf numFmtId="218" fontId="67" fillId="3" borderId="0" xfId="0" applyNumberFormat="1" applyFont="1" applyFill="1" applyAlignment="1">
      <alignment horizontal="right" vertical="center"/>
    </xf>
    <xf numFmtId="205" fontId="67" fillId="3" borderId="0" xfId="0" applyNumberFormat="1" applyFont="1" applyFill="1" applyAlignment="1">
      <alignment horizontal="right" vertical="center" shrinkToFit="1"/>
    </xf>
    <xf numFmtId="0" fontId="14" fillId="3" borderId="16" xfId="0" applyFont="1" applyFill="1" applyBorder="1" applyAlignment="1">
      <alignment horizontal="left" vertical="center" shrinkToFit="1"/>
    </xf>
    <xf numFmtId="211" fontId="9" fillId="6" borderId="36" xfId="0" applyNumberFormat="1" applyFont="1" applyFill="1" applyBorder="1" applyAlignment="1">
      <alignment horizontal="center" vertical="center" shrinkToFit="1"/>
    </xf>
    <xf numFmtId="0" fontId="9" fillId="6" borderId="0" xfId="0" applyFont="1" applyFill="1" applyAlignment="1">
      <alignment horizontal="right"/>
    </xf>
    <xf numFmtId="203" fontId="8" fillId="0" borderId="109" xfId="0" applyNumberFormat="1" applyFont="1" applyBorder="1" applyAlignment="1" applyProtection="1">
      <alignment horizontal="center" vertical="center"/>
      <protection locked="0"/>
    </xf>
    <xf numFmtId="256" fontId="107" fillId="0" borderId="65" xfId="0" applyNumberFormat="1" applyFont="1" applyBorder="1" applyAlignment="1" applyProtection="1">
      <alignment horizontal="center" vertical="center" shrinkToFit="1"/>
      <protection locked="0"/>
    </xf>
    <xf numFmtId="200" fontId="9" fillId="6" borderId="38" xfId="0" applyNumberFormat="1" applyFont="1" applyFill="1" applyBorder="1" applyAlignment="1">
      <alignment horizontal="center" vertical="center" shrinkToFit="1"/>
    </xf>
    <xf numFmtId="0" fontId="9" fillId="6" borderId="0" xfId="0" applyFont="1" applyFill="1" applyAlignment="1" applyProtection="1">
      <alignment horizontal="center" vertical="center"/>
      <protection locked="0"/>
    </xf>
    <xf numFmtId="0" fontId="9" fillId="6" borderId="0" xfId="0" applyFont="1" applyFill="1" applyAlignment="1">
      <alignment horizontal="justify" vertical="top"/>
    </xf>
    <xf numFmtId="0" fontId="104" fillId="3" borderId="15" xfId="0" quotePrefix="1" applyFont="1" applyFill="1" applyBorder="1" applyAlignment="1">
      <alignment horizontal="center" vertical="top"/>
    </xf>
    <xf numFmtId="0" fontId="34" fillId="3" borderId="8" xfId="0" quotePrefix="1" applyFont="1" applyFill="1" applyBorder="1" applyAlignment="1">
      <alignment horizontal="left" vertical="center"/>
    </xf>
    <xf numFmtId="255" fontId="9" fillId="6" borderId="18" xfId="0" quotePrefix="1" applyNumberFormat="1" applyFont="1" applyFill="1" applyBorder="1" applyAlignment="1" applyProtection="1">
      <alignment horizontal="center" vertical="center"/>
      <protection locked="0"/>
    </xf>
    <xf numFmtId="254" fontId="104" fillId="6" borderId="40" xfId="0" applyNumberFormat="1" applyFont="1" applyFill="1" applyBorder="1" applyAlignment="1">
      <alignment horizontal="center" vertical="center" shrinkToFit="1"/>
    </xf>
    <xf numFmtId="254" fontId="104" fillId="6" borderId="106" xfId="0" applyNumberFormat="1" applyFont="1" applyFill="1" applyBorder="1" applyAlignment="1">
      <alignment horizontal="center" vertical="center" shrinkToFit="1"/>
    </xf>
    <xf numFmtId="254" fontId="104" fillId="6" borderId="104" xfId="0" applyNumberFormat="1" applyFont="1" applyFill="1" applyBorder="1" applyAlignment="1">
      <alignment horizontal="center" vertical="center" shrinkToFit="1"/>
    </xf>
    <xf numFmtId="0" fontId="21" fillId="3" borderId="104" xfId="0" applyFont="1" applyFill="1" applyBorder="1" applyAlignment="1">
      <alignment horizontal="center" vertical="center" wrapText="1"/>
    </xf>
    <xf numFmtId="214" fontId="21" fillId="3" borderId="104" xfId="0" applyNumberFormat="1" applyFont="1" applyFill="1" applyBorder="1" applyAlignment="1">
      <alignment horizontal="center" vertical="center" wrapText="1"/>
    </xf>
    <xf numFmtId="0" fontId="14" fillId="3" borderId="104" xfId="0" applyFont="1" applyFill="1" applyBorder="1" applyAlignment="1">
      <alignment vertical="center"/>
    </xf>
    <xf numFmtId="0" fontId="21" fillId="3" borderId="3" xfId="0" applyFont="1" applyFill="1" applyBorder="1" applyAlignment="1">
      <alignment horizontal="center" vertical="center" wrapText="1"/>
    </xf>
    <xf numFmtId="214" fontId="21" fillId="3" borderId="3" xfId="0" applyNumberFormat="1" applyFont="1" applyFill="1" applyBorder="1" applyAlignment="1">
      <alignment horizontal="center" vertical="center" wrapText="1"/>
    </xf>
    <xf numFmtId="0" fontId="21" fillId="3" borderId="108" xfId="0" applyFont="1" applyFill="1" applyBorder="1" applyAlignment="1">
      <alignment horizontal="center" vertical="center" wrapText="1"/>
    </xf>
    <xf numFmtId="234" fontId="9" fillId="6" borderId="20" xfId="0" quotePrefix="1" applyNumberFormat="1" applyFont="1" applyFill="1" applyBorder="1" applyAlignment="1" applyProtection="1">
      <alignment horizontal="center" vertical="center" shrinkToFit="1"/>
      <protection locked="0"/>
    </xf>
    <xf numFmtId="0" fontId="9" fillId="6" borderId="15" xfId="0" applyFont="1" applyFill="1" applyBorder="1" applyAlignment="1">
      <alignment horizontal="justify" vertical="top"/>
    </xf>
    <xf numFmtId="254" fontId="104" fillId="6" borderId="19" xfId="0" applyNumberFormat="1" applyFont="1" applyFill="1" applyBorder="1" applyAlignment="1">
      <alignment horizontal="center" vertical="center" shrinkToFit="1"/>
    </xf>
    <xf numFmtId="0" fontId="14" fillId="3" borderId="105" xfId="0" applyFont="1" applyFill="1" applyBorder="1" applyAlignment="1">
      <alignment vertical="center"/>
    </xf>
    <xf numFmtId="0" fontId="101" fillId="0" borderId="37" xfId="0" applyFont="1" applyBorder="1" applyAlignment="1" applyProtection="1">
      <alignment horizontal="center" vertical="center" shrinkToFit="1"/>
      <protection locked="0"/>
    </xf>
    <xf numFmtId="0" fontId="101" fillId="3" borderId="0" xfId="0" applyFont="1" applyFill="1" applyAlignment="1" applyProtection="1">
      <alignment horizontal="justify"/>
      <protection locked="0"/>
    </xf>
    <xf numFmtId="203" fontId="8" fillId="0" borderId="109" xfId="0" applyNumberFormat="1" applyFont="1" applyBorder="1" applyAlignment="1" applyProtection="1">
      <alignment horizontal="center" vertical="center" shrinkToFit="1"/>
      <protection locked="0"/>
    </xf>
    <xf numFmtId="222" fontId="107" fillId="0" borderId="65" xfId="0" applyNumberFormat="1" applyFont="1" applyBorder="1" applyAlignment="1" applyProtection="1">
      <alignment horizontal="center" vertical="center" shrinkToFit="1"/>
      <protection locked="0"/>
    </xf>
    <xf numFmtId="212" fontId="9" fillId="6" borderId="38" xfId="0" applyNumberFormat="1" applyFont="1" applyFill="1" applyBorder="1" applyAlignment="1">
      <alignment horizontal="center" vertical="center" shrinkToFit="1"/>
    </xf>
    <xf numFmtId="202" fontId="104" fillId="6" borderId="39" xfId="0" applyNumberFormat="1" applyFont="1" applyFill="1" applyBorder="1" applyAlignment="1">
      <alignment horizontal="center" vertical="center"/>
    </xf>
    <xf numFmtId="261" fontId="109" fillId="0" borderId="109" xfId="0" applyNumberFormat="1" applyFont="1" applyBorder="1" applyAlignment="1" applyProtection="1">
      <alignment horizontal="center" vertical="center"/>
      <protection locked="0"/>
    </xf>
    <xf numFmtId="0" fontId="9" fillId="3" borderId="0" xfId="0" quotePrefix="1" applyFont="1" applyFill="1" applyAlignment="1">
      <alignment horizontal="left" vertical="center"/>
    </xf>
    <xf numFmtId="0" fontId="9" fillId="7" borderId="0" xfId="0" applyFont="1" applyFill="1" applyAlignment="1">
      <alignment horizontal="justify" vertical="top"/>
    </xf>
    <xf numFmtId="0" fontId="73" fillId="6" borderId="16" xfId="0" applyFont="1" applyFill="1" applyBorder="1" applyAlignment="1">
      <alignment horizontal="left" vertical="center"/>
    </xf>
    <xf numFmtId="0" fontId="34" fillId="3" borderId="0" xfId="0" quotePrefix="1" applyFont="1" applyFill="1" applyAlignment="1">
      <alignment horizontal="left" vertical="center"/>
    </xf>
    <xf numFmtId="0" fontId="14" fillId="3" borderId="3" xfId="0" applyFont="1" applyFill="1" applyBorder="1" applyAlignment="1">
      <alignment horizontal="center" vertical="center"/>
    </xf>
    <xf numFmtId="214" fontId="14" fillId="3" borderId="3" xfId="0" applyNumberFormat="1" applyFont="1" applyFill="1" applyBorder="1" applyAlignment="1">
      <alignment horizontal="center" vertical="center"/>
    </xf>
    <xf numFmtId="0" fontId="14" fillId="3" borderId="3" xfId="0" applyFont="1" applyFill="1" applyBorder="1"/>
    <xf numFmtId="0" fontId="14" fillId="3" borderId="108" xfId="0" applyFont="1" applyFill="1" applyBorder="1"/>
    <xf numFmtId="0" fontId="21" fillId="3" borderId="16" xfId="0" quotePrefix="1" applyFont="1" applyFill="1" applyBorder="1" applyAlignment="1">
      <alignment horizontal="left" vertical="center"/>
    </xf>
    <xf numFmtId="0" fontId="21" fillId="3" borderId="0" xfId="0" quotePrefix="1" applyFont="1" applyFill="1" applyAlignment="1">
      <alignment horizontal="left" vertical="center"/>
    </xf>
    <xf numFmtId="0" fontId="9" fillId="6" borderId="0" xfId="0" applyFont="1" applyFill="1" applyAlignment="1">
      <alignment horizontal="center"/>
    </xf>
    <xf numFmtId="214" fontId="14" fillId="3" borderId="0" xfId="0" applyNumberFormat="1" applyFont="1" applyFill="1" applyAlignment="1">
      <alignment horizontal="center" vertical="center"/>
    </xf>
    <xf numFmtId="0" fontId="14" fillId="3" borderId="0" xfId="0" applyFont="1" applyFill="1"/>
    <xf numFmtId="0" fontId="14" fillId="3" borderId="15" xfId="0" applyFont="1" applyFill="1" applyBorder="1"/>
    <xf numFmtId="212" fontId="14" fillId="6" borderId="18" xfId="0" applyNumberFormat="1" applyFont="1" applyFill="1" applyBorder="1" applyAlignment="1">
      <alignment horizontal="center" vertical="center" shrinkToFit="1"/>
    </xf>
    <xf numFmtId="224" fontId="101" fillId="0" borderId="110" xfId="0" applyNumberFormat="1" applyFont="1" applyBorder="1" applyAlignment="1" applyProtection="1">
      <alignment horizontal="center" vertical="center" shrinkToFit="1"/>
      <protection locked="0"/>
    </xf>
    <xf numFmtId="225" fontId="101" fillId="0" borderId="111" xfId="0" applyNumberFormat="1" applyFont="1" applyBorder="1" applyAlignment="1" applyProtection="1">
      <alignment horizontal="center" vertical="center" shrinkToFit="1"/>
      <protection locked="0"/>
    </xf>
    <xf numFmtId="0" fontId="9" fillId="0" borderId="0" xfId="0" applyFont="1" applyAlignment="1" applyProtection="1">
      <alignment horizontal="fill"/>
      <protection locked="0"/>
    </xf>
    <xf numFmtId="0" fontId="34" fillId="3" borderId="16" xfId="0" applyFont="1" applyFill="1" applyBorder="1" applyAlignment="1">
      <alignment horizontal="left" shrinkToFit="1"/>
    </xf>
    <xf numFmtId="0" fontId="34" fillId="3" borderId="0" xfId="0" applyFont="1" applyFill="1" applyAlignment="1">
      <alignment horizontal="left" shrinkToFit="1"/>
    </xf>
    <xf numFmtId="230" fontId="9" fillId="7" borderId="109" xfId="0" applyNumberFormat="1" applyFont="1" applyFill="1" applyBorder="1" applyAlignment="1">
      <alignment horizontal="center" vertical="center" shrinkToFit="1"/>
    </xf>
    <xf numFmtId="257" fontId="104" fillId="7" borderId="85" xfId="0" applyNumberFormat="1" applyFont="1" applyFill="1" applyBorder="1" applyAlignment="1">
      <alignment horizontal="center" vertical="center" shrinkToFit="1"/>
    </xf>
    <xf numFmtId="258" fontId="104" fillId="7" borderId="85" xfId="0" applyNumberFormat="1" applyFont="1" applyFill="1" applyBorder="1" applyAlignment="1">
      <alignment horizontal="center" vertical="center" shrinkToFit="1"/>
    </xf>
    <xf numFmtId="0" fontId="9" fillId="3" borderId="0" xfId="0" quotePrefix="1" applyFont="1" applyFill="1" applyAlignment="1">
      <alignment horizontal="justify"/>
    </xf>
    <xf numFmtId="0" fontId="9" fillId="3" borderId="15" xfId="0" quotePrefix="1" applyFont="1" applyFill="1" applyBorder="1" applyAlignment="1">
      <alignment horizontal="justify"/>
    </xf>
    <xf numFmtId="210" fontId="9" fillId="6" borderId="90" xfId="0" quotePrefix="1" applyNumberFormat="1" applyFont="1" applyFill="1" applyBorder="1" applyAlignment="1">
      <alignment horizontal="center" vertical="center" shrinkToFit="1"/>
    </xf>
    <xf numFmtId="210" fontId="9" fillId="6" borderId="104" xfId="0" quotePrefix="1" applyNumberFormat="1" applyFont="1" applyFill="1" applyBorder="1" applyAlignment="1">
      <alignment horizontal="center" vertical="center" shrinkToFit="1"/>
    </xf>
    <xf numFmtId="215" fontId="9" fillId="6" borderId="104" xfId="0" quotePrefix="1" applyNumberFormat="1" applyFont="1" applyFill="1" applyBorder="1" applyAlignment="1">
      <alignment horizontal="center" vertical="center" shrinkToFit="1"/>
    </xf>
    <xf numFmtId="0" fontId="9" fillId="7" borderId="104" xfId="0" applyFont="1" applyFill="1" applyBorder="1" applyAlignment="1">
      <alignment horizontal="center" vertical="center"/>
    </xf>
    <xf numFmtId="186" fontId="104" fillId="7" borderId="104" xfId="0" applyNumberFormat="1" applyFont="1" applyFill="1" applyBorder="1" applyAlignment="1">
      <alignment horizontal="center" vertical="center" shrinkToFit="1"/>
    </xf>
    <xf numFmtId="0" fontId="9" fillId="3" borderId="104" xfId="0" quotePrefix="1" applyFont="1" applyFill="1" applyBorder="1" applyAlignment="1">
      <alignment horizontal="justify"/>
    </xf>
    <xf numFmtId="0" fontId="9" fillId="3" borderId="105" xfId="0" quotePrefix="1" applyFont="1" applyFill="1" applyBorder="1" applyAlignment="1">
      <alignment horizontal="justify"/>
    </xf>
    <xf numFmtId="0" fontId="14" fillId="3" borderId="16" xfId="0" applyFont="1" applyFill="1" applyBorder="1" applyAlignment="1">
      <alignment horizontal="left" vertical="center"/>
    </xf>
    <xf numFmtId="0" fontId="14" fillId="3" borderId="0" xfId="0" applyFont="1" applyFill="1" applyAlignment="1">
      <alignment horizontal="left" vertical="center"/>
    </xf>
    <xf numFmtId="0" fontId="14" fillId="3" borderId="8" xfId="0" quotePrefix="1" applyFont="1" applyFill="1" applyBorder="1" applyAlignment="1">
      <alignment horizontal="left" vertical="center"/>
    </xf>
    <xf numFmtId="0" fontId="14" fillId="3" borderId="16" xfId="0" applyFont="1" applyFill="1" applyBorder="1" applyAlignment="1">
      <alignment horizontal="left" shrinkToFit="1"/>
    </xf>
    <xf numFmtId="0" fontId="14" fillId="3" borderId="0" xfId="0" applyFont="1" applyFill="1" applyAlignment="1">
      <alignment horizontal="left" shrinkToFit="1"/>
    </xf>
    <xf numFmtId="226" fontId="9" fillId="6" borderId="34" xfId="0" applyNumberFormat="1" applyFont="1" applyFill="1" applyBorder="1" applyAlignment="1" applyProtection="1">
      <alignment horizontal="center" shrinkToFit="1"/>
      <protection locked="0"/>
    </xf>
    <xf numFmtId="226" fontId="9" fillId="6" borderId="11" xfId="0" applyNumberFormat="1" applyFont="1" applyFill="1" applyBorder="1" applyAlignment="1" applyProtection="1">
      <alignment horizontal="center" shrinkToFit="1"/>
      <protection locked="0"/>
    </xf>
    <xf numFmtId="221" fontId="109" fillId="0" borderId="89" xfId="0" applyNumberFormat="1" applyFont="1" applyBorder="1" applyAlignment="1" applyProtection="1">
      <alignment horizontal="center" vertical="center" shrinkToFit="1"/>
      <protection locked="0"/>
    </xf>
    <xf numFmtId="0" fontId="14" fillId="3" borderId="8" xfId="0" quotePrefix="1" applyFont="1" applyFill="1" applyBorder="1" applyAlignment="1">
      <alignment horizontal="center" vertical="top"/>
    </xf>
    <xf numFmtId="0" fontId="9" fillId="6" borderId="8" xfId="0" applyFont="1" applyFill="1" applyBorder="1" applyAlignment="1">
      <alignment horizontal="left" vertical="center"/>
    </xf>
    <xf numFmtId="265" fontId="104" fillId="6" borderId="96" xfId="0" applyNumberFormat="1" applyFont="1" applyFill="1" applyBorder="1" applyAlignment="1">
      <alignment horizontal="center" vertical="center" shrinkToFit="1"/>
    </xf>
    <xf numFmtId="265" fontId="104" fillId="6" borderId="112" xfId="0" applyNumberFormat="1" applyFont="1" applyFill="1" applyBorder="1" applyAlignment="1">
      <alignment horizontal="center" vertical="center" shrinkToFit="1"/>
    </xf>
    <xf numFmtId="0" fontId="9" fillId="6" borderId="106" xfId="0" applyFont="1" applyFill="1" applyBorder="1" applyAlignment="1">
      <alignment horizontal="left" vertical="center"/>
    </xf>
    <xf numFmtId="0" fontId="9" fillId="6" borderId="104" xfId="0" applyFont="1" applyFill="1" applyBorder="1" applyAlignment="1">
      <alignment horizontal="left" vertical="center"/>
    </xf>
    <xf numFmtId="265" fontId="104" fillId="6" borderId="0" xfId="0" applyNumberFormat="1" applyFont="1" applyFill="1" applyAlignment="1">
      <alignment horizontal="center" vertical="center" shrinkToFit="1"/>
    </xf>
    <xf numFmtId="273" fontId="8" fillId="0" borderId="41" xfId="0" applyNumberFormat="1" applyFont="1" applyBorder="1" applyAlignment="1" applyProtection="1">
      <alignment horizontal="right" vertical="center" indent="2" shrinkToFit="1"/>
      <protection locked="0"/>
    </xf>
    <xf numFmtId="272" fontId="112" fillId="0" borderId="40" xfId="0" applyNumberFormat="1" applyFont="1" applyBorder="1" applyAlignment="1" applyProtection="1">
      <alignment horizontal="right" vertical="center" wrapText="1" indent="1"/>
      <protection locked="0"/>
    </xf>
    <xf numFmtId="274" fontId="113" fillId="3" borderId="0" xfId="0" applyNumberFormat="1" applyFont="1" applyFill="1" applyAlignment="1">
      <alignment horizontal="left" vertical="center" shrinkToFit="1"/>
    </xf>
    <xf numFmtId="0" fontId="20" fillId="3" borderId="11" xfId="0" applyFont="1" applyFill="1" applyBorder="1" applyAlignment="1">
      <alignment vertical="center"/>
    </xf>
    <xf numFmtId="236" fontId="92" fillId="9" borderId="70" xfId="0" applyNumberFormat="1" applyFont="1" applyFill="1" applyBorder="1" applyAlignment="1">
      <alignment horizontal="center" vertical="center" shrinkToFit="1"/>
    </xf>
    <xf numFmtId="0" fontId="55" fillId="6" borderId="0" xfId="0" applyFont="1" applyFill="1" applyAlignment="1">
      <alignment horizontal="right" vertical="center" indent="1"/>
    </xf>
    <xf numFmtId="266" fontId="109" fillId="0" borderId="37" xfId="0" applyNumberFormat="1" applyFont="1" applyBorder="1" applyAlignment="1" applyProtection="1">
      <alignment horizontal="center" vertical="center" shrinkToFit="1"/>
      <protection locked="0"/>
    </xf>
    <xf numFmtId="0" fontId="6" fillId="6" borderId="23" xfId="0" applyFont="1" applyFill="1" applyBorder="1" applyAlignment="1">
      <alignment horizontal="left" vertical="center" indent="1"/>
    </xf>
    <xf numFmtId="240" fontId="7" fillId="6" borderId="23" xfId="0" applyNumberFormat="1" applyFont="1" applyFill="1" applyBorder="1" applyAlignment="1">
      <alignment horizontal="center" vertical="center"/>
    </xf>
    <xf numFmtId="0" fontId="14" fillId="3" borderId="0" xfId="0" quotePrefix="1" applyFont="1" applyFill="1" applyAlignment="1">
      <alignment horizontal="left" vertical="center"/>
    </xf>
    <xf numFmtId="0" fontId="9" fillId="0" borderId="0" xfId="0" applyFont="1" applyAlignment="1">
      <alignment vertical="center"/>
    </xf>
    <xf numFmtId="0" fontId="9" fillId="0" borderId="0" xfId="0" applyFont="1" applyAlignment="1">
      <alignment horizontal="center" vertical="center" shrinkToFit="1"/>
    </xf>
    <xf numFmtId="257" fontId="9" fillId="7" borderId="97" xfId="0" applyNumberFormat="1" applyFont="1" applyFill="1" applyBorder="1" applyAlignment="1">
      <alignment horizontal="center" vertical="center" shrinkToFit="1"/>
    </xf>
    <xf numFmtId="258" fontId="9" fillId="7" borderId="97" xfId="0" applyNumberFormat="1" applyFont="1" applyFill="1" applyBorder="1" applyAlignment="1">
      <alignment horizontal="center" vertical="center" shrinkToFit="1"/>
    </xf>
    <xf numFmtId="239" fontId="109" fillId="0" borderId="132" xfId="0" applyNumberFormat="1" applyFont="1" applyBorder="1"/>
    <xf numFmtId="281" fontId="109" fillId="0" borderId="133" xfId="0" applyNumberFormat="1" applyFont="1" applyBorder="1" applyAlignment="1" applyProtection="1">
      <alignment horizontal="left" vertical="center" shrinkToFit="1"/>
      <protection locked="0"/>
    </xf>
    <xf numFmtId="281" fontId="108" fillId="0" borderId="133" xfId="0" applyNumberFormat="1" applyFont="1" applyBorder="1" applyAlignment="1" applyProtection="1">
      <alignment horizontal="left" vertical="center" shrinkToFit="1"/>
      <protection locked="0"/>
    </xf>
    <xf numFmtId="0" fontId="8" fillId="0" borderId="0" xfId="2" quotePrefix="1" applyFont="1" applyFill="1" applyAlignment="1" applyProtection="1">
      <alignment horizontal="center" vertical="center"/>
    </xf>
    <xf numFmtId="0" fontId="10" fillId="0" borderId="21" xfId="0" applyFont="1" applyBorder="1" applyAlignment="1">
      <alignment horizontal="center" vertical="center"/>
    </xf>
    <xf numFmtId="236" fontId="119" fillId="3" borderId="0" xfId="0" applyNumberFormat="1" applyFont="1" applyFill="1" applyAlignment="1">
      <alignment horizontal="center" vertical="center" wrapText="1"/>
    </xf>
    <xf numFmtId="0" fontId="12" fillId="3" borderId="0" xfId="0" quotePrefix="1" applyFont="1" applyFill="1" applyAlignment="1">
      <alignment horizontal="left" wrapText="1"/>
    </xf>
    <xf numFmtId="0" fontId="20" fillId="0" borderId="0" xfId="0" applyFont="1" applyAlignment="1">
      <alignment vertical="center"/>
    </xf>
    <xf numFmtId="198" fontId="128" fillId="9" borderId="104" xfId="0" applyNumberFormat="1" applyFont="1" applyFill="1" applyBorder="1" applyAlignment="1">
      <alignment horizontal="center" vertical="top"/>
    </xf>
    <xf numFmtId="0" fontId="58" fillId="9" borderId="16" xfId="0" applyFont="1" applyFill="1" applyBorder="1" applyAlignment="1">
      <alignment horizontal="center" vertical="center" wrapText="1" shrinkToFit="1"/>
    </xf>
    <xf numFmtId="0" fontId="20" fillId="9" borderId="0" xfId="0" applyFont="1" applyFill="1" applyAlignment="1">
      <alignment horizontal="center" vertical="center" wrapText="1"/>
    </xf>
    <xf numFmtId="170" fontId="128" fillId="9" borderId="104" xfId="0" applyNumberFormat="1" applyFont="1" applyFill="1" applyBorder="1" applyAlignment="1">
      <alignment horizontal="center" vertical="top"/>
    </xf>
    <xf numFmtId="0" fontId="123" fillId="0" borderId="17" xfId="0" applyFont="1" applyBorder="1" applyAlignment="1">
      <alignment horizontal="center" vertical="center" shrinkToFit="1"/>
    </xf>
    <xf numFmtId="0" fontId="54" fillId="6" borderId="0" xfId="0" applyFont="1" applyFill="1" applyAlignment="1">
      <alignment horizontal="center" vertical="center"/>
    </xf>
    <xf numFmtId="0" fontId="54" fillId="0" borderId="0" xfId="0" applyFont="1" applyAlignment="1">
      <alignment vertical="center"/>
    </xf>
    <xf numFmtId="0" fontId="55" fillId="3" borderId="125" xfId="0" applyFont="1" applyFill="1" applyBorder="1" applyAlignment="1">
      <alignment horizontal="center" vertical="center" shrinkToFit="1"/>
    </xf>
    <xf numFmtId="170" fontId="55" fillId="3" borderId="125" xfId="0" applyNumberFormat="1" applyFont="1" applyFill="1" applyBorder="1" applyAlignment="1">
      <alignment horizontal="center" vertical="center" shrinkToFit="1"/>
    </xf>
    <xf numFmtId="186" fontId="55" fillId="3" borderId="125" xfId="0" applyNumberFormat="1" applyFont="1" applyFill="1" applyBorder="1" applyAlignment="1">
      <alignment horizontal="center" vertical="center" shrinkToFit="1"/>
    </xf>
    <xf numFmtId="187" fontId="55" fillId="3" borderId="125" xfId="0" applyNumberFormat="1" applyFont="1" applyFill="1" applyBorder="1" applyAlignment="1">
      <alignment horizontal="center" vertical="center" shrinkToFit="1"/>
    </xf>
    <xf numFmtId="2" fontId="57" fillId="3" borderId="125" xfId="0" applyNumberFormat="1" applyFont="1" applyFill="1" applyBorder="1" applyAlignment="1">
      <alignment horizontal="center" vertical="center" shrinkToFit="1"/>
    </xf>
    <xf numFmtId="174" fontId="57" fillId="3" borderId="125" xfId="0" applyNumberFormat="1" applyFont="1" applyFill="1" applyBorder="1" applyAlignment="1">
      <alignment horizontal="center" vertical="center" shrinkToFit="1"/>
    </xf>
    <xf numFmtId="178" fontId="57" fillId="3" borderId="125" xfId="0" applyNumberFormat="1" applyFont="1" applyFill="1" applyBorder="1" applyAlignment="1">
      <alignment horizontal="center" vertical="center" shrinkToFit="1"/>
    </xf>
    <xf numFmtId="177" fontId="61" fillId="3" borderId="125" xfId="0" applyNumberFormat="1" applyFont="1" applyFill="1" applyBorder="1" applyAlignment="1">
      <alignment horizontal="center" vertical="center" shrinkToFit="1"/>
    </xf>
    <xf numFmtId="168" fontId="55" fillId="3" borderId="125" xfId="0" applyNumberFormat="1" applyFont="1" applyFill="1" applyBorder="1" applyAlignment="1">
      <alignment horizontal="center" vertical="center" shrinkToFit="1"/>
    </xf>
    <xf numFmtId="178" fontId="55" fillId="3" borderId="125" xfId="0" applyNumberFormat="1" applyFont="1" applyFill="1" applyBorder="1" applyAlignment="1">
      <alignment horizontal="center" vertical="center" shrinkToFit="1"/>
    </xf>
    <xf numFmtId="165" fontId="55" fillId="3" borderId="125" xfId="0" applyNumberFormat="1" applyFont="1" applyFill="1" applyBorder="1" applyAlignment="1">
      <alignment horizontal="center" vertical="center" shrinkToFit="1"/>
    </xf>
    <xf numFmtId="173" fontId="62" fillId="3" borderId="125" xfId="3" applyNumberFormat="1" applyFont="1" applyFill="1" applyBorder="1" applyAlignment="1" applyProtection="1">
      <alignment horizontal="center" vertical="center" shrinkToFit="1"/>
    </xf>
    <xf numFmtId="184" fontId="55" fillId="3" borderId="125" xfId="0" applyNumberFormat="1" applyFont="1" applyFill="1" applyBorder="1" applyAlignment="1">
      <alignment horizontal="center" vertical="center"/>
    </xf>
    <xf numFmtId="4" fontId="55" fillId="3" borderId="125" xfId="0" applyNumberFormat="1" applyFont="1" applyFill="1" applyBorder="1" applyAlignment="1">
      <alignment horizontal="center" vertical="center"/>
    </xf>
    <xf numFmtId="0" fontId="64" fillId="3" borderId="125" xfId="0" applyFont="1" applyFill="1" applyBorder="1" applyAlignment="1">
      <alignment horizontal="left" vertical="center" shrinkToFit="1"/>
    </xf>
    <xf numFmtId="180" fontId="55" fillId="3" borderId="125" xfId="0" applyNumberFormat="1" applyFont="1" applyFill="1" applyBorder="1" applyAlignment="1">
      <alignment horizontal="center" vertical="center"/>
    </xf>
    <xf numFmtId="0" fontId="92" fillId="6" borderId="23" xfId="0" applyFont="1" applyFill="1" applyBorder="1" applyAlignment="1">
      <alignment horizontal="left" vertical="center" indent="1"/>
    </xf>
    <xf numFmtId="180" fontId="55" fillId="3" borderId="15" xfId="0" applyNumberFormat="1" applyFont="1" applyFill="1" applyBorder="1" applyAlignment="1">
      <alignment horizontal="center" vertical="center"/>
    </xf>
    <xf numFmtId="0" fontId="9" fillId="6" borderId="34" xfId="0" applyFont="1" applyFill="1" applyBorder="1" applyAlignment="1" applyProtection="1">
      <alignment horizontal="justify" vertical="center" wrapText="1"/>
      <protection locked="0"/>
    </xf>
    <xf numFmtId="264" fontId="104" fillId="6" borderId="114" xfId="0" applyNumberFormat="1" applyFont="1" applyFill="1" applyBorder="1" applyAlignment="1">
      <alignment horizontal="center" vertical="center" shrinkToFit="1"/>
    </xf>
    <xf numFmtId="226" fontId="109" fillId="6" borderId="37" xfId="0" applyNumberFormat="1" applyFont="1" applyFill="1" applyBorder="1" applyAlignment="1" applyProtection="1">
      <alignment horizontal="center" vertical="center" shrinkToFit="1"/>
      <protection locked="0"/>
    </xf>
    <xf numFmtId="0" fontId="63" fillId="3" borderId="0" xfId="0" applyFont="1" applyFill="1" applyAlignment="1">
      <alignment horizontal="center" vertical="center"/>
    </xf>
    <xf numFmtId="0" fontId="87" fillId="9" borderId="70" xfId="0" applyFont="1" applyFill="1" applyBorder="1" applyAlignment="1">
      <alignment horizontal="center" vertical="center" shrinkToFit="1"/>
    </xf>
    <xf numFmtId="0" fontId="58" fillId="3" borderId="15" xfId="0" applyFont="1" applyFill="1" applyBorder="1" applyAlignment="1">
      <alignment horizontal="center" vertical="center"/>
    </xf>
    <xf numFmtId="187" fontId="55" fillId="3" borderId="15" xfId="0" applyNumberFormat="1" applyFont="1" applyFill="1" applyBorder="1" applyAlignment="1">
      <alignment horizontal="center" vertical="center" shrinkToFit="1"/>
    </xf>
    <xf numFmtId="236" fontId="20" fillId="3" borderId="15" xfId="0" applyNumberFormat="1" applyFont="1" applyFill="1" applyBorder="1" applyAlignment="1">
      <alignment horizontal="center" vertical="center"/>
    </xf>
    <xf numFmtId="0" fontId="55" fillId="3" borderId="15" xfId="0" applyFont="1" applyFill="1" applyBorder="1" applyAlignment="1">
      <alignment horizontal="center" vertical="center"/>
    </xf>
    <xf numFmtId="0" fontId="64" fillId="3" borderId="15" xfId="0" applyFont="1" applyFill="1" applyBorder="1" applyAlignment="1">
      <alignment horizontal="left" vertical="center" shrinkToFit="1"/>
    </xf>
    <xf numFmtId="0" fontId="56" fillId="3" borderId="15" xfId="0" applyFont="1" applyFill="1" applyBorder="1" applyAlignment="1">
      <alignment horizontal="center" vertical="center"/>
    </xf>
    <xf numFmtId="0" fontId="92" fillId="2" borderId="90" xfId="2" applyFont="1" applyFill="1" applyBorder="1" applyAlignment="1" applyProtection="1">
      <alignment horizontal="center" vertical="center"/>
    </xf>
    <xf numFmtId="0" fontId="92" fillId="2" borderId="138" xfId="0" applyFont="1" applyFill="1" applyBorder="1" applyAlignment="1">
      <alignment horizontal="center" vertical="center" shrinkToFit="1"/>
    </xf>
    <xf numFmtId="0" fontId="92" fillId="2" borderId="136" xfId="0" applyFont="1" applyFill="1" applyBorder="1" applyAlignment="1">
      <alignment horizontal="center" vertical="center"/>
    </xf>
    <xf numFmtId="179" fontId="92" fillId="2" borderId="142" xfId="0" applyNumberFormat="1" applyFont="1" applyFill="1" applyBorder="1" applyAlignment="1">
      <alignment horizontal="center" vertical="center"/>
    </xf>
    <xf numFmtId="276" fontId="48" fillId="0" borderId="124" xfId="0" applyNumberFormat="1" applyFont="1" applyBorder="1" applyAlignment="1" applyProtection="1">
      <alignment horizontal="center" vertical="center" shrinkToFit="1"/>
      <protection locked="0"/>
    </xf>
    <xf numFmtId="0" fontId="72" fillId="0" borderId="25" xfId="2" applyFont="1" applyFill="1" applyBorder="1" applyAlignment="1" applyProtection="1">
      <alignment horizontal="center" vertical="center"/>
      <protection locked="0"/>
    </xf>
    <xf numFmtId="175" fontId="72" fillId="0" borderId="1" xfId="2" applyNumberFormat="1" applyFont="1" applyFill="1" applyBorder="1" applyAlignment="1" applyProtection="1">
      <alignment horizontal="center" vertical="center"/>
      <protection locked="0"/>
    </xf>
    <xf numFmtId="175" fontId="72" fillId="0" borderId="44" xfId="2" applyNumberFormat="1" applyFont="1" applyFill="1" applyBorder="1" applyAlignment="1" applyProtection="1">
      <alignment horizontal="center" vertical="center"/>
      <protection locked="0"/>
    </xf>
    <xf numFmtId="175" fontId="72" fillId="0" borderId="45" xfId="2" applyNumberFormat="1" applyFont="1" applyFill="1" applyBorder="1" applyAlignment="1" applyProtection="1">
      <alignment horizontal="center" vertical="center"/>
      <protection locked="0"/>
    </xf>
    <xf numFmtId="175" fontId="72" fillId="0" borderId="42" xfId="2" applyNumberFormat="1" applyFont="1" applyFill="1" applyBorder="1" applyAlignment="1" applyProtection="1">
      <alignment horizontal="center" vertical="center"/>
      <protection locked="0"/>
    </xf>
    <xf numFmtId="175" fontId="72" fillId="0" borderId="46" xfId="2" applyNumberFormat="1" applyFont="1" applyFill="1" applyBorder="1" applyAlignment="1" applyProtection="1">
      <alignment horizontal="center" vertical="center"/>
      <protection locked="0"/>
    </xf>
    <xf numFmtId="243" fontId="102" fillId="0" borderId="70" xfId="0" applyNumberFormat="1" applyFont="1" applyBorder="1" applyAlignment="1" applyProtection="1">
      <alignment horizontal="right" vertical="center" shrinkToFit="1"/>
      <protection locked="0"/>
    </xf>
    <xf numFmtId="167" fontId="122" fillId="12" borderId="47" xfId="0" applyNumberFormat="1" applyFont="1" applyFill="1" applyBorder="1" applyAlignment="1" applyProtection="1">
      <alignment horizontal="center" vertical="center"/>
      <protection hidden="1"/>
    </xf>
    <xf numFmtId="175" fontId="122" fillId="12" borderId="48" xfId="0" applyNumberFormat="1" applyFont="1" applyFill="1" applyBorder="1" applyAlignment="1">
      <alignment horizontal="center" vertical="center"/>
    </xf>
    <xf numFmtId="175" fontId="122" fillId="12" borderId="49" xfId="0" applyNumberFormat="1" applyFont="1" applyFill="1" applyBorder="1" applyAlignment="1">
      <alignment horizontal="center" vertical="center"/>
    </xf>
    <xf numFmtId="191" fontId="122" fillId="12" borderId="50" xfId="2" applyNumberFormat="1" applyFont="1" applyFill="1" applyBorder="1" applyAlignment="1" applyProtection="1">
      <alignment horizontal="center" vertical="center"/>
    </xf>
    <xf numFmtId="175" fontId="122" fillId="12" borderId="51" xfId="0" applyNumberFormat="1" applyFont="1" applyFill="1" applyBorder="1" applyAlignment="1">
      <alignment horizontal="center" vertical="center"/>
    </xf>
    <xf numFmtId="167" fontId="7" fillId="11" borderId="52" xfId="0" applyNumberFormat="1" applyFont="1" applyFill="1" applyBorder="1" applyAlignment="1">
      <alignment horizontal="right" vertical="center"/>
    </xf>
    <xf numFmtId="175" fontId="7" fillId="11" borderId="53" xfId="0" applyNumberFormat="1" applyFont="1" applyFill="1" applyBorder="1" applyAlignment="1">
      <alignment horizontal="center" vertical="center"/>
    </xf>
    <xf numFmtId="0" fontId="7" fillId="11" borderId="54" xfId="0" applyFont="1" applyFill="1" applyBorder="1" applyAlignment="1">
      <alignment vertical="center"/>
    </xf>
    <xf numFmtId="167" fontId="7" fillId="11" borderId="95" xfId="0" applyNumberFormat="1" applyFont="1" applyFill="1" applyBorder="1" applyAlignment="1">
      <alignment horizontal="right" vertical="center"/>
    </xf>
    <xf numFmtId="175" fontId="7" fillId="11" borderId="98" xfId="0" applyNumberFormat="1" applyFont="1" applyFill="1" applyBorder="1" applyAlignment="1">
      <alignment horizontal="center" vertical="center"/>
    </xf>
    <xf numFmtId="175" fontId="7" fillId="11" borderId="99" xfId="0" applyNumberFormat="1" applyFont="1" applyFill="1" applyBorder="1" applyAlignment="1">
      <alignment horizontal="center" vertical="center"/>
    </xf>
    <xf numFmtId="0" fontId="92" fillId="9" borderId="35" xfId="0" applyFont="1" applyFill="1" applyBorder="1" applyAlignment="1">
      <alignment horizontal="center" vertical="center" shrinkToFit="1"/>
    </xf>
    <xf numFmtId="241" fontId="102" fillId="0" borderId="23" xfId="0" applyNumberFormat="1" applyFont="1" applyBorder="1" applyAlignment="1" applyProtection="1">
      <alignment horizontal="center" vertical="center"/>
      <protection locked="0"/>
    </xf>
    <xf numFmtId="293" fontId="102" fillId="0" borderId="23" xfId="0" applyNumberFormat="1" applyFont="1" applyBorder="1" applyAlignment="1" applyProtection="1">
      <alignment horizontal="center" vertical="center" shrinkToFit="1"/>
      <protection locked="0"/>
    </xf>
    <xf numFmtId="14" fontId="52" fillId="0" borderId="0" xfId="0" applyNumberFormat="1" applyFont="1" applyAlignment="1">
      <alignment horizontal="center" vertical="center" shrinkToFit="1"/>
    </xf>
    <xf numFmtId="170" fontId="97" fillId="9" borderId="66" xfId="0" applyNumberFormat="1" applyFont="1" applyFill="1" applyBorder="1" applyAlignment="1">
      <alignment horizontal="center" vertical="center" shrinkToFit="1"/>
    </xf>
    <xf numFmtId="0" fontId="20" fillId="3" borderId="15" xfId="0" applyFont="1" applyFill="1" applyBorder="1" applyAlignment="1">
      <alignment vertical="center"/>
    </xf>
    <xf numFmtId="189" fontId="69" fillId="3" borderId="15" xfId="0" applyNumberFormat="1" applyFont="1" applyFill="1" applyBorder="1" applyAlignment="1">
      <alignment horizontal="center" vertical="center" shrinkToFit="1"/>
    </xf>
    <xf numFmtId="0" fontId="63" fillId="3" borderId="15" xfId="0" applyFont="1" applyFill="1" applyBorder="1" applyAlignment="1">
      <alignment horizontal="right" vertical="center"/>
    </xf>
    <xf numFmtId="197" fontId="15" fillId="3" borderId="15" xfId="0" applyNumberFormat="1" applyFont="1" applyFill="1" applyBorder="1" applyAlignment="1">
      <alignment horizontal="left" vertical="center"/>
    </xf>
    <xf numFmtId="0" fontId="122" fillId="6" borderId="25" xfId="0" applyFont="1" applyFill="1" applyBorder="1" applyAlignment="1">
      <alignment horizontal="left" vertical="center" indent="1"/>
    </xf>
    <xf numFmtId="0" fontId="120" fillId="6" borderId="42" xfId="0" applyFont="1" applyFill="1" applyBorder="1" applyAlignment="1">
      <alignment horizontal="left" vertical="center" indent="1"/>
    </xf>
    <xf numFmtId="0" fontId="120" fillId="6" borderId="1" xfId="0" applyFont="1" applyFill="1" applyBorder="1" applyAlignment="1">
      <alignment horizontal="left" vertical="center" indent="1"/>
    </xf>
    <xf numFmtId="0" fontId="0" fillId="6" borderId="0" xfId="0" applyFill="1" applyAlignment="1">
      <alignment horizontal="center" vertical="center"/>
    </xf>
    <xf numFmtId="170" fontId="97" fillId="9" borderId="67" xfId="0" applyNumberFormat="1" applyFont="1" applyFill="1" applyBorder="1" applyAlignment="1">
      <alignment horizontal="center" vertical="center" shrinkToFit="1"/>
    </xf>
    <xf numFmtId="252" fontId="54" fillId="6" borderId="0" xfId="0" applyNumberFormat="1" applyFont="1" applyFill="1" applyAlignment="1">
      <alignment horizontal="center" vertical="center"/>
    </xf>
    <xf numFmtId="2" fontId="132" fillId="6" borderId="0" xfId="0" applyNumberFormat="1" applyFont="1" applyFill="1" applyAlignment="1">
      <alignment horizontal="center" vertical="center" shrinkToFit="1"/>
    </xf>
    <xf numFmtId="0" fontId="52" fillId="6" borderId="0" xfId="0" applyFont="1" applyFill="1" applyAlignment="1">
      <alignment horizontal="center" vertical="center"/>
    </xf>
    <xf numFmtId="233" fontId="55" fillId="6" borderId="15" xfId="0" applyNumberFormat="1" applyFont="1" applyFill="1" applyBorder="1" applyAlignment="1">
      <alignment horizontal="center" vertical="center"/>
    </xf>
    <xf numFmtId="286" fontId="126" fillId="6" borderId="0" xfId="0" applyNumberFormat="1" applyFont="1" applyFill="1" applyAlignment="1" applyProtection="1">
      <alignment horizontal="center" vertical="center" shrinkToFit="1"/>
      <protection locked="0"/>
    </xf>
    <xf numFmtId="0" fontId="92" fillId="9" borderId="32" xfId="0" quotePrefix="1" applyFont="1" applyFill="1" applyBorder="1" applyAlignment="1">
      <alignment horizontal="left" vertical="center" indent="1"/>
    </xf>
    <xf numFmtId="0" fontId="0" fillId="9" borderId="64" xfId="0" applyFill="1" applyBorder="1" applyAlignment="1">
      <alignment horizontal="left" vertical="center" indent="1"/>
    </xf>
    <xf numFmtId="264" fontId="97" fillId="9" borderId="64" xfId="0" applyNumberFormat="1" applyFont="1" applyFill="1" applyBorder="1" applyAlignment="1">
      <alignment horizontal="center" vertical="center" shrinkToFit="1"/>
    </xf>
    <xf numFmtId="263" fontId="97" fillId="9" borderId="31" xfId="0" applyNumberFormat="1" applyFont="1" applyFill="1" applyBorder="1" applyAlignment="1">
      <alignment horizontal="center" vertical="center" shrinkToFit="1"/>
    </xf>
    <xf numFmtId="0" fontId="71" fillId="6" borderId="68" xfId="0" quotePrefix="1" applyFont="1" applyFill="1" applyBorder="1" applyAlignment="1">
      <alignment horizontal="left" vertical="center" indent="1" shrinkToFit="1"/>
    </xf>
    <xf numFmtId="0" fontId="1" fillId="6" borderId="68" xfId="0" applyFont="1" applyFill="1" applyBorder="1" applyAlignment="1">
      <alignment horizontal="left" vertical="center" indent="1"/>
    </xf>
    <xf numFmtId="2" fontId="132" fillId="6" borderId="164" xfId="0" applyNumberFormat="1" applyFont="1" applyFill="1" applyBorder="1" applyAlignment="1">
      <alignment horizontal="center" vertical="center" shrinkToFit="1"/>
    </xf>
    <xf numFmtId="0" fontId="115" fillId="6" borderId="0" xfId="0" quotePrefix="1" applyFont="1" applyFill="1" applyAlignment="1">
      <alignment horizontal="left" vertical="center" indent="1" shrinkToFit="1"/>
    </xf>
    <xf numFmtId="0" fontId="114" fillId="6" borderId="0" xfId="0" applyFont="1" applyFill="1" applyAlignment="1">
      <alignment horizontal="left" vertical="center" indent="1"/>
    </xf>
    <xf numFmtId="228" fontId="125" fillId="9" borderId="0" xfId="0" applyNumberFormat="1" applyFont="1" applyFill="1" applyAlignment="1">
      <alignment horizontal="center" vertical="center" shrinkToFit="1"/>
    </xf>
    <xf numFmtId="228" fontId="125" fillId="9" borderId="0" xfId="0" applyNumberFormat="1" applyFont="1" applyFill="1" applyAlignment="1" applyProtection="1">
      <alignment horizontal="center" vertical="center"/>
      <protection locked="0"/>
    </xf>
    <xf numFmtId="0" fontId="147" fillId="9" borderId="16" xfId="0" applyFont="1" applyFill="1" applyBorder="1" applyAlignment="1">
      <alignment horizontal="right" vertical="center"/>
    </xf>
    <xf numFmtId="285" fontId="124" fillId="9" borderId="104" xfId="0" applyNumberFormat="1" applyFont="1" applyFill="1" applyBorder="1" applyAlignment="1">
      <alignment horizontal="center" vertical="center"/>
    </xf>
    <xf numFmtId="0" fontId="7" fillId="6" borderId="15" xfId="0" quotePrefix="1" applyFont="1" applyFill="1" applyBorder="1" applyAlignment="1">
      <alignment horizontal="center" vertical="center"/>
    </xf>
    <xf numFmtId="0" fontId="148" fillId="6" borderId="0" xfId="0" applyFont="1" applyFill="1" applyAlignment="1">
      <alignment horizontal="left" vertical="center" indent="1"/>
    </xf>
    <xf numFmtId="296" fontId="40" fillId="0" borderId="0" xfId="0" applyNumberFormat="1" applyFont="1" applyAlignment="1">
      <alignment vertical="center"/>
    </xf>
    <xf numFmtId="297" fontId="40" fillId="0" borderId="0" xfId="0" applyNumberFormat="1" applyFont="1" applyAlignment="1">
      <alignment vertical="center"/>
    </xf>
    <xf numFmtId="0" fontId="20" fillId="9" borderId="16" xfId="0" applyFont="1" applyFill="1" applyBorder="1" applyAlignment="1">
      <alignment horizontal="justify" vertical="center"/>
    </xf>
    <xf numFmtId="0" fontId="20" fillId="9" borderId="0" xfId="0" applyFont="1" applyFill="1" applyAlignment="1">
      <alignment horizontal="justify" vertical="center"/>
    </xf>
    <xf numFmtId="0" fontId="20" fillId="9" borderId="15" xfId="0" applyFont="1" applyFill="1" applyBorder="1" applyAlignment="1">
      <alignment horizontal="justify" vertical="center"/>
    </xf>
    <xf numFmtId="0" fontId="129" fillId="9" borderId="0" xfId="0" applyFont="1" applyFill="1" applyAlignment="1">
      <alignment horizontal="center" vertical="center"/>
    </xf>
    <xf numFmtId="0" fontId="51" fillId="9" borderId="15" xfId="0" applyFont="1" applyFill="1" applyBorder="1" applyAlignment="1">
      <alignment vertical="center"/>
    </xf>
    <xf numFmtId="198" fontId="130" fillId="9" borderId="150" xfId="2" applyNumberFormat="1" applyFont="1" applyFill="1" applyBorder="1" applyAlignment="1" applyProtection="1">
      <alignment horizontal="center" vertical="center" shrinkToFit="1"/>
    </xf>
    <xf numFmtId="172" fontId="151" fillId="11" borderId="129" xfId="2" applyNumberFormat="1" applyFont="1" applyFill="1" applyBorder="1" applyAlignment="1" applyProtection="1">
      <alignment horizontal="center" vertical="center" shrinkToFit="1"/>
      <protection locked="0"/>
    </xf>
    <xf numFmtId="207" fontId="7" fillId="11" borderId="67" xfId="0" applyNumberFormat="1" applyFont="1" applyFill="1" applyBorder="1" applyAlignment="1">
      <alignment horizontal="right" vertical="center" indent="1" shrinkToFit="1"/>
    </xf>
    <xf numFmtId="208" fontId="7" fillId="11" borderId="32" xfId="0" applyNumberFormat="1" applyFont="1" applyFill="1" applyBorder="1" applyAlignment="1">
      <alignment horizontal="right" vertical="center" indent="1" shrinkToFit="1"/>
    </xf>
    <xf numFmtId="0" fontId="89" fillId="3" borderId="125" xfId="0" applyFont="1" applyFill="1" applyBorder="1" applyAlignment="1">
      <alignment horizontal="center" vertical="center" wrapText="1"/>
    </xf>
    <xf numFmtId="0" fontId="6" fillId="3" borderId="0" xfId="0" applyFont="1" applyFill="1" applyAlignment="1">
      <alignment horizontal="center" vertical="center" wrapText="1" shrinkToFit="1"/>
    </xf>
    <xf numFmtId="0" fontId="88" fillId="9" borderId="16" xfId="0" quotePrefix="1" applyFont="1" applyFill="1" applyBorder="1" applyAlignment="1">
      <alignment horizontal="justify" wrapText="1"/>
    </xf>
    <xf numFmtId="0" fontId="6" fillId="9" borderId="0" xfId="0" applyFont="1" applyFill="1" applyAlignment="1">
      <alignment horizontal="justify" wrapText="1"/>
    </xf>
    <xf numFmtId="0" fontId="6" fillId="9" borderId="108" xfId="0" applyFont="1" applyFill="1" applyBorder="1" applyAlignment="1">
      <alignment horizontal="justify" wrapText="1"/>
    </xf>
    <xf numFmtId="0" fontId="6" fillId="3" borderId="0" xfId="0" applyFont="1" applyFill="1" applyAlignment="1">
      <alignment horizontal="center" vertical="center" wrapText="1"/>
    </xf>
    <xf numFmtId="0" fontId="7" fillId="3" borderId="0" xfId="0" applyFont="1" applyFill="1" applyAlignment="1">
      <alignment horizontal="center"/>
    </xf>
    <xf numFmtId="180" fontId="7" fillId="6" borderId="0" xfId="0" applyNumberFormat="1" applyFont="1" applyFill="1" applyAlignment="1">
      <alignment horizontal="center" shrinkToFit="1"/>
    </xf>
    <xf numFmtId="236" fontId="7" fillId="3" borderId="0" xfId="0" applyNumberFormat="1" applyFont="1" applyFill="1" applyAlignment="1">
      <alignment horizontal="center" vertical="center"/>
    </xf>
    <xf numFmtId="236" fontId="6" fillId="3" borderId="125" xfId="0" applyNumberFormat="1" applyFont="1" applyFill="1" applyBorder="1" applyAlignment="1">
      <alignment horizontal="center" vertical="center" shrinkToFit="1"/>
    </xf>
    <xf numFmtId="236" fontId="7" fillId="3" borderId="125" xfId="0" applyNumberFormat="1" applyFont="1" applyFill="1" applyBorder="1" applyAlignment="1">
      <alignment horizontal="center" vertical="center" shrinkToFit="1"/>
    </xf>
    <xf numFmtId="236" fontId="6" fillId="4" borderId="0" xfId="0" applyNumberFormat="1" applyFont="1" applyFill="1" applyAlignment="1">
      <alignment vertical="center"/>
    </xf>
    <xf numFmtId="236" fontId="6" fillId="3" borderId="0" xfId="0" applyNumberFormat="1" applyFont="1" applyFill="1" applyAlignment="1">
      <alignment vertical="center"/>
    </xf>
    <xf numFmtId="298" fontId="130" fillId="9" borderId="170" xfId="2" applyNumberFormat="1" applyFont="1" applyFill="1" applyBorder="1" applyAlignment="1" applyProtection="1">
      <alignment horizontal="center" vertical="center" shrinkToFit="1"/>
    </xf>
    <xf numFmtId="307" fontId="160" fillId="0" borderId="0" xfId="0" applyNumberFormat="1" applyFont="1" applyAlignment="1">
      <alignment horizontal="center" vertical="center"/>
    </xf>
    <xf numFmtId="239" fontId="9" fillId="13" borderId="28" xfId="0" applyNumberFormat="1" applyFont="1" applyFill="1" applyBorder="1" applyAlignment="1">
      <alignment horizontal="right" vertical="center" shrinkToFit="1"/>
    </xf>
    <xf numFmtId="308" fontId="9" fillId="13" borderId="29" xfId="0" applyNumberFormat="1" applyFont="1" applyFill="1" applyBorder="1" applyAlignment="1">
      <alignment horizontal="left" vertical="center"/>
    </xf>
    <xf numFmtId="239" fontId="108" fillId="0" borderId="132" xfId="0" applyNumberFormat="1" applyFont="1" applyBorder="1" applyProtection="1">
      <protection locked="0"/>
    </xf>
    <xf numFmtId="0" fontId="9" fillId="6" borderId="0" xfId="0" applyFont="1" applyFill="1" applyAlignment="1" applyProtection="1">
      <alignment horizontal="right"/>
      <protection locked="0"/>
    </xf>
    <xf numFmtId="254" fontId="104" fillId="6" borderId="16" xfId="0" applyNumberFormat="1" applyFont="1" applyFill="1" applyBorder="1" applyAlignment="1">
      <alignment horizontal="center" vertical="center" shrinkToFit="1"/>
    </xf>
    <xf numFmtId="254" fontId="104" fillId="6" borderId="0" xfId="0" applyNumberFormat="1" applyFont="1" applyFill="1" applyAlignment="1">
      <alignment horizontal="center" vertical="center" shrinkToFit="1"/>
    </xf>
    <xf numFmtId="214" fontId="21" fillId="3" borderId="0" xfId="0" applyNumberFormat="1" applyFont="1" applyFill="1" applyAlignment="1">
      <alignment horizontal="center" vertical="center" wrapText="1"/>
    </xf>
    <xf numFmtId="0" fontId="14" fillId="3" borderId="15" xfId="0" applyFont="1" applyFill="1" applyBorder="1" applyAlignment="1">
      <alignment vertical="center"/>
    </xf>
    <xf numFmtId="0" fontId="118" fillId="0" borderId="34" xfId="0" applyFont="1" applyBorder="1" applyAlignment="1" applyProtection="1">
      <alignment horizontal="center"/>
      <protection locked="0"/>
    </xf>
    <xf numFmtId="0" fontId="9" fillId="3" borderId="20" xfId="0" quotePrefix="1" applyFont="1" applyFill="1" applyBorder="1" applyAlignment="1">
      <alignment horizontal="left" vertical="center"/>
    </xf>
    <xf numFmtId="0" fontId="104" fillId="3" borderId="20" xfId="0" applyFont="1" applyFill="1" applyBorder="1" applyAlignment="1">
      <alignment vertical="center"/>
    </xf>
    <xf numFmtId="0" fontId="9" fillId="3" borderId="15" xfId="0" quotePrefix="1" applyFont="1" applyFill="1" applyBorder="1" applyAlignment="1">
      <alignment horizontal="left" vertical="center"/>
    </xf>
    <xf numFmtId="0" fontId="104" fillId="3" borderId="0" xfId="0" applyFont="1" applyFill="1" applyAlignment="1">
      <alignment vertical="center"/>
    </xf>
    <xf numFmtId="0" fontId="104" fillId="3" borderId="15" xfId="0" applyFont="1" applyFill="1" applyBorder="1" applyAlignment="1">
      <alignment vertical="center"/>
    </xf>
    <xf numFmtId="0" fontId="163" fillId="3" borderId="107" xfId="0" quotePrefix="1" applyFont="1" applyFill="1" applyBorder="1" applyAlignment="1">
      <alignment horizontal="left" vertical="center"/>
    </xf>
    <xf numFmtId="0" fontId="6" fillId="0" borderId="28" xfId="0" applyFont="1" applyBorder="1"/>
    <xf numFmtId="267" fontId="109" fillId="0" borderId="28" xfId="0" applyNumberFormat="1" applyFont="1" applyBorder="1" applyAlignment="1" applyProtection="1">
      <alignment horizontal="center" vertical="center"/>
      <protection locked="0"/>
    </xf>
    <xf numFmtId="263" fontId="104" fillId="6" borderId="173" xfId="0" applyNumberFormat="1" applyFont="1" applyFill="1" applyBorder="1" applyAlignment="1">
      <alignment horizontal="center" vertical="center" shrinkToFit="1"/>
    </xf>
    <xf numFmtId="265" fontId="104" fillId="6" borderId="22" xfId="0" applyNumberFormat="1" applyFont="1" applyFill="1" applyBorder="1" applyAlignment="1">
      <alignment horizontal="center" vertical="center" shrinkToFit="1"/>
    </xf>
    <xf numFmtId="264" fontId="104" fillId="6" borderId="113" xfId="0" applyNumberFormat="1" applyFont="1" applyFill="1" applyBorder="1" applyAlignment="1">
      <alignment horizontal="center" vertical="center" shrinkToFit="1"/>
    </xf>
    <xf numFmtId="265" fontId="104" fillId="6" borderId="92" xfId="0" applyNumberFormat="1" applyFont="1" applyFill="1" applyBorder="1" applyAlignment="1">
      <alignment horizontal="center" vertical="center" shrinkToFit="1"/>
    </xf>
    <xf numFmtId="265" fontId="104" fillId="6" borderId="15" xfId="0" applyNumberFormat="1" applyFont="1" applyFill="1" applyBorder="1" applyAlignment="1">
      <alignment horizontal="center" vertical="center" shrinkToFit="1"/>
    </xf>
    <xf numFmtId="0" fontId="72" fillId="3" borderId="20" xfId="0" applyFont="1" applyFill="1" applyBorder="1" applyAlignment="1">
      <alignment horizontal="center" vertical="center"/>
    </xf>
    <xf numFmtId="0" fontId="72" fillId="3" borderId="8" xfId="0" quotePrefix="1" applyFont="1" applyFill="1" applyBorder="1" applyAlignment="1">
      <alignment horizontal="center" wrapText="1"/>
    </xf>
    <xf numFmtId="0" fontId="166" fillId="0" borderId="0" xfId="0" applyFont="1"/>
    <xf numFmtId="0" fontId="167" fillId="3" borderId="20" xfId="0" applyFont="1" applyFill="1" applyBorder="1" applyAlignment="1">
      <alignment horizontal="center" vertical="center"/>
    </xf>
    <xf numFmtId="0" fontId="72" fillId="3" borderId="8" xfId="0" quotePrefix="1" applyFont="1" applyFill="1" applyBorder="1" applyAlignment="1">
      <alignment horizontal="center" vertical="center" wrapText="1"/>
    </xf>
    <xf numFmtId="0" fontId="168" fillId="0" borderId="0" xfId="0" applyFont="1" applyAlignment="1">
      <alignment horizontal="center" vertical="center"/>
    </xf>
    <xf numFmtId="0" fontId="88" fillId="9" borderId="0" xfId="0" quotePrefix="1" applyFont="1" applyFill="1" applyAlignment="1">
      <alignment horizontal="justify" wrapText="1"/>
    </xf>
    <xf numFmtId="2" fontId="157" fillId="11" borderId="35" xfId="0" quotePrefix="1" applyNumberFormat="1" applyFont="1" applyFill="1" applyBorder="1" applyAlignment="1">
      <alignment horizontal="right" vertical="center"/>
    </xf>
    <xf numFmtId="312" fontId="53" fillId="11" borderId="69" xfId="0" applyNumberFormat="1" applyFont="1" applyFill="1" applyBorder="1" applyAlignment="1">
      <alignment horizontal="left" vertical="center" shrinkToFit="1"/>
    </xf>
    <xf numFmtId="286" fontId="169" fillId="6" borderId="0" xfId="0" applyNumberFormat="1" applyFont="1" applyFill="1" applyAlignment="1" applyProtection="1">
      <alignment horizontal="center" vertical="center" shrinkToFit="1"/>
      <protection locked="0"/>
    </xf>
    <xf numFmtId="251" fontId="169" fillId="6" borderId="0" xfId="0" applyNumberFormat="1" applyFont="1" applyFill="1" applyAlignment="1">
      <alignment horizontal="center" vertical="center"/>
    </xf>
    <xf numFmtId="286" fontId="169" fillId="6" borderId="0" xfId="0" applyNumberFormat="1" applyFont="1" applyFill="1" applyAlignment="1" applyProtection="1">
      <alignment horizontal="right" vertical="center" shrinkToFit="1"/>
      <protection locked="0"/>
    </xf>
    <xf numFmtId="0" fontId="169" fillId="6" borderId="0" xfId="0" applyFont="1" applyFill="1" applyAlignment="1">
      <alignment horizontal="left" vertical="center" indent="1" shrinkToFit="1"/>
    </xf>
    <xf numFmtId="0" fontId="169" fillId="6" borderId="104" xfId="0" applyFont="1" applyFill="1" applyBorder="1" applyAlignment="1">
      <alignment horizontal="left" vertical="center" indent="1" shrinkToFit="1"/>
    </xf>
    <xf numFmtId="232" fontId="9" fillId="10" borderId="144" xfId="0" applyNumberFormat="1" applyFont="1" applyFill="1" applyBorder="1" applyAlignment="1">
      <alignment horizontal="center" vertical="center" shrinkToFit="1"/>
    </xf>
    <xf numFmtId="223" fontId="9" fillId="10" borderId="91" xfId="0" applyNumberFormat="1" applyFont="1" applyFill="1" applyBorder="1" applyAlignment="1">
      <alignment horizontal="right" vertical="center" shrinkToFit="1"/>
    </xf>
    <xf numFmtId="0" fontId="22" fillId="3" borderId="20" xfId="0" applyFont="1" applyFill="1" applyBorder="1" applyAlignment="1">
      <alignment vertical="center"/>
    </xf>
    <xf numFmtId="0" fontId="171" fillId="9" borderId="104" xfId="0" applyFont="1" applyFill="1" applyBorder="1" applyAlignment="1">
      <alignment horizontal="right" vertical="center"/>
    </xf>
    <xf numFmtId="0" fontId="172" fillId="9" borderId="31" xfId="0" applyFont="1" applyFill="1" applyBorder="1" applyAlignment="1">
      <alignment horizontal="center" vertical="center" shrinkToFit="1"/>
    </xf>
    <xf numFmtId="202" fontId="104" fillId="6" borderId="174" xfId="0" applyNumberFormat="1" applyFont="1" applyFill="1" applyBorder="1" applyAlignment="1">
      <alignment horizontal="center" vertical="center"/>
    </xf>
    <xf numFmtId="256" fontId="107" fillId="0" borderId="175" xfId="0" applyNumberFormat="1" applyFont="1" applyBorder="1" applyAlignment="1" applyProtection="1">
      <alignment horizontal="center" vertical="center" shrinkToFit="1"/>
      <protection locked="0"/>
    </xf>
    <xf numFmtId="244" fontId="104" fillId="6" borderId="174" xfId="0" applyNumberFormat="1" applyFont="1" applyFill="1" applyBorder="1" applyAlignment="1">
      <alignment horizontal="center" vertical="center"/>
    </xf>
    <xf numFmtId="244" fontId="104" fillId="6" borderId="41" xfId="0" applyNumberFormat="1" applyFont="1" applyFill="1" applyBorder="1" applyAlignment="1">
      <alignment horizontal="center" vertical="center"/>
    </xf>
    <xf numFmtId="256" fontId="107" fillId="0" borderId="176" xfId="0" applyNumberFormat="1" applyFont="1" applyBorder="1" applyAlignment="1" applyProtection="1">
      <alignment horizontal="center" vertical="center" shrinkToFit="1"/>
      <protection locked="0"/>
    </xf>
    <xf numFmtId="200" fontId="9" fillId="3" borderId="177" xfId="0" quotePrefix="1" applyNumberFormat="1" applyFont="1" applyFill="1" applyBorder="1" applyAlignment="1" applyProtection="1">
      <alignment horizontal="right" vertical="center" shrinkToFit="1"/>
      <protection locked="0"/>
    </xf>
    <xf numFmtId="247" fontId="109" fillId="0" borderId="173" xfId="0" quotePrefix="1" applyNumberFormat="1" applyFont="1" applyBorder="1" applyAlignment="1" applyProtection="1">
      <alignment horizontal="center" vertical="center" shrinkToFit="1"/>
      <protection locked="0"/>
    </xf>
    <xf numFmtId="219" fontId="8" fillId="0" borderId="40" xfId="0" applyNumberFormat="1" applyFont="1" applyBorder="1" applyAlignment="1" applyProtection="1">
      <alignment horizontal="center" vertical="center" shrinkToFit="1"/>
      <protection locked="0"/>
    </xf>
    <xf numFmtId="236" fontId="175" fillId="6" borderId="21" xfId="0" applyNumberFormat="1" applyFont="1" applyFill="1" applyBorder="1" applyAlignment="1">
      <alignment horizontal="center" vertical="center" shrinkToFit="1"/>
    </xf>
    <xf numFmtId="236" fontId="176" fillId="6" borderId="21" xfId="0" applyNumberFormat="1" applyFont="1" applyFill="1" applyBorder="1" applyAlignment="1">
      <alignment vertical="center" shrinkToFit="1"/>
    </xf>
    <xf numFmtId="0" fontId="176" fillId="0" borderId="0" xfId="0" applyFont="1" applyAlignment="1">
      <alignment vertical="center"/>
    </xf>
    <xf numFmtId="236" fontId="176" fillId="6" borderId="0" xfId="0" applyNumberFormat="1" applyFont="1" applyFill="1" applyAlignment="1">
      <alignment horizontal="center" vertical="center" shrinkToFit="1"/>
    </xf>
    <xf numFmtId="0" fontId="77" fillId="9" borderId="105" xfId="2" applyFont="1" applyFill="1" applyBorder="1" applyAlignment="1" applyProtection="1">
      <alignment horizontal="left" vertical="center" shrinkToFit="1"/>
    </xf>
    <xf numFmtId="0" fontId="20" fillId="0" borderId="179" xfId="0" applyFont="1" applyBorder="1" applyAlignment="1">
      <alignment horizontal="center" vertical="center"/>
    </xf>
    <xf numFmtId="0" fontId="34" fillId="6" borderId="104" xfId="0" quotePrefix="1" applyFont="1" applyFill="1" applyBorder="1" applyAlignment="1">
      <alignment horizontal="left" vertical="center"/>
    </xf>
    <xf numFmtId="0" fontId="104" fillId="6" borderId="104" xfId="0" applyFont="1" applyFill="1" applyBorder="1" applyAlignment="1">
      <alignment vertical="center" wrapText="1"/>
    </xf>
    <xf numFmtId="0" fontId="104" fillId="6" borderId="104" xfId="0" applyFont="1" applyFill="1" applyBorder="1" applyAlignment="1">
      <alignment vertical="center"/>
    </xf>
    <xf numFmtId="0" fontId="104" fillId="6" borderId="105" xfId="0" applyFont="1" applyFill="1" applyBorder="1" applyAlignment="1">
      <alignment vertical="center"/>
    </xf>
    <xf numFmtId="265" fontId="104" fillId="6" borderId="104" xfId="0" applyNumberFormat="1" applyFont="1" applyFill="1" applyBorder="1" applyAlignment="1">
      <alignment horizontal="center" vertical="center" shrinkToFit="1"/>
    </xf>
    <xf numFmtId="265" fontId="104" fillId="6" borderId="105" xfId="0" applyNumberFormat="1" applyFont="1" applyFill="1" applyBorder="1" applyAlignment="1">
      <alignment horizontal="center" vertical="center" shrinkToFit="1"/>
    </xf>
    <xf numFmtId="315" fontId="109" fillId="0" borderId="28" xfId="0" applyNumberFormat="1" applyFont="1" applyBorder="1" applyAlignment="1" applyProtection="1">
      <alignment horizontal="center" vertical="center" shrinkToFit="1"/>
      <protection locked="0"/>
    </xf>
    <xf numFmtId="316" fontId="7" fillId="0" borderId="20" xfId="0" applyNumberFormat="1" applyFont="1" applyBorder="1" applyAlignment="1">
      <alignment horizontal="center" vertical="center"/>
    </xf>
    <xf numFmtId="0" fontId="55" fillId="3" borderId="3" xfId="0" applyFont="1" applyFill="1" applyBorder="1" applyAlignment="1">
      <alignment horizontal="center" vertical="center" wrapText="1"/>
    </xf>
    <xf numFmtId="0" fontId="55" fillId="3" borderId="3" xfId="0" applyFont="1" applyFill="1" applyBorder="1" applyAlignment="1">
      <alignment vertical="center"/>
    </xf>
    <xf numFmtId="0" fontId="55" fillId="3" borderId="108" xfId="0" applyFont="1" applyFill="1" applyBorder="1" applyAlignment="1">
      <alignment horizontal="center" vertical="center"/>
    </xf>
    <xf numFmtId="0" fontId="10" fillId="6" borderId="91" xfId="0" applyFont="1" applyFill="1" applyBorder="1" applyAlignment="1">
      <alignment horizontal="center"/>
    </xf>
    <xf numFmtId="0" fontId="0" fillId="6" borderId="91" xfId="0" applyFill="1" applyBorder="1" applyAlignment="1">
      <alignment horizontal="center"/>
    </xf>
    <xf numFmtId="306" fontId="43" fillId="0" borderId="20" xfId="0" applyNumberFormat="1" applyFont="1" applyBorder="1"/>
    <xf numFmtId="317" fontId="104" fillId="6" borderId="22" xfId="0" applyNumberFormat="1" applyFont="1" applyFill="1" applyBorder="1" applyAlignment="1">
      <alignment horizontal="center" vertical="center" shrinkToFit="1"/>
    </xf>
    <xf numFmtId="318" fontId="104" fillId="6" borderId="173" xfId="0" applyNumberFormat="1" applyFont="1" applyFill="1" applyBorder="1" applyAlignment="1">
      <alignment horizontal="center" vertical="center" shrinkToFit="1"/>
    </xf>
    <xf numFmtId="211" fontId="108" fillId="0" borderId="109" xfId="0" applyNumberFormat="1" applyFont="1" applyBorder="1" applyAlignment="1" applyProtection="1">
      <alignment horizontal="center" vertical="center" shrinkToFit="1"/>
      <protection locked="0"/>
    </xf>
    <xf numFmtId="239" fontId="109" fillId="0" borderId="132" xfId="0" applyNumberFormat="1" applyFont="1" applyBorder="1" applyProtection="1">
      <protection locked="0"/>
    </xf>
    <xf numFmtId="281" fontId="109" fillId="0" borderId="29" xfId="0" applyNumberFormat="1" applyFont="1" applyBorder="1" applyAlignment="1" applyProtection="1">
      <alignment horizontal="left" vertical="center" shrinkToFit="1"/>
      <protection locked="0"/>
    </xf>
    <xf numFmtId="0" fontId="9" fillId="6" borderId="34" xfId="0" applyFont="1" applyFill="1" applyBorder="1" applyAlignment="1" applyProtection="1">
      <alignment horizontal="right"/>
      <protection locked="0"/>
    </xf>
    <xf numFmtId="203" fontId="8" fillId="0" borderId="37" xfId="0" applyNumberFormat="1" applyFont="1" applyBorder="1" applyAlignment="1" applyProtection="1">
      <alignment horizontal="center" vertical="center"/>
      <protection locked="0"/>
    </xf>
    <xf numFmtId="317" fontId="6" fillId="0" borderId="0" xfId="0" applyNumberFormat="1" applyFont="1" applyAlignment="1">
      <alignment shrinkToFit="1"/>
    </xf>
    <xf numFmtId="174" fontId="46" fillId="0" borderId="67" xfId="0" applyNumberFormat="1" applyFont="1" applyBorder="1" applyAlignment="1" applyProtection="1">
      <alignment horizontal="center" vertical="center"/>
      <protection locked="0"/>
    </xf>
    <xf numFmtId="174" fontId="7" fillId="11" borderId="67" xfId="0" applyNumberFormat="1" applyFont="1" applyFill="1" applyBorder="1" applyAlignment="1">
      <alignment horizontal="center" vertical="center"/>
    </xf>
    <xf numFmtId="0" fontId="179" fillId="8" borderId="142" xfId="0" applyFont="1" applyFill="1" applyBorder="1" applyAlignment="1" applyProtection="1">
      <alignment horizontal="center" vertical="center"/>
      <protection locked="0"/>
    </xf>
    <xf numFmtId="0" fontId="0" fillId="6" borderId="0" xfId="0" applyFill="1" applyAlignment="1">
      <alignment horizontal="justify" vertical="center" wrapText="1"/>
    </xf>
    <xf numFmtId="242" fontId="186" fillId="0" borderId="117" xfId="0" applyNumberFormat="1" applyFont="1" applyBorder="1" applyAlignment="1" applyProtection="1">
      <alignment horizontal="center" vertical="center"/>
      <protection locked="0"/>
    </xf>
    <xf numFmtId="0" fontId="187" fillId="0" borderId="142" xfId="0" applyFont="1" applyBorder="1" applyAlignment="1" applyProtection="1">
      <alignment horizontal="center" vertical="center"/>
      <protection locked="0"/>
    </xf>
    <xf numFmtId="0" fontId="11" fillId="9" borderId="25" xfId="2" applyFont="1" applyFill="1" applyBorder="1" applyAlignment="1" applyProtection="1">
      <alignment horizontal="center" vertical="center" wrapText="1" shrinkToFit="1"/>
    </xf>
    <xf numFmtId="0" fontId="0" fillId="6" borderId="15" xfId="0" applyFill="1" applyBorder="1" applyAlignment="1">
      <alignment horizontal="justify" vertical="center" wrapText="1"/>
    </xf>
    <xf numFmtId="0" fontId="189" fillId="6" borderId="0" xfId="0" applyFont="1" applyFill="1" applyAlignment="1">
      <alignment horizontal="justify" vertical="center" wrapText="1"/>
    </xf>
    <xf numFmtId="295" fontId="192" fillId="7" borderId="8" xfId="0" applyNumberFormat="1" applyFont="1" applyFill="1" applyBorder="1" applyAlignment="1">
      <alignment horizontal="center" vertical="center" shrinkToFit="1"/>
    </xf>
    <xf numFmtId="2" fontId="7" fillId="0" borderId="144" xfId="0" applyNumberFormat="1" applyFont="1" applyBorder="1" applyAlignment="1">
      <alignment horizontal="right" vertical="center"/>
    </xf>
    <xf numFmtId="0" fontId="7" fillId="0" borderId="182" xfId="0" applyFont="1" applyBorder="1" applyAlignment="1">
      <alignment horizontal="left" vertical="center"/>
    </xf>
    <xf numFmtId="323" fontId="193" fillId="6" borderId="91" xfId="0" applyNumberFormat="1" applyFont="1" applyFill="1" applyBorder="1" applyAlignment="1">
      <alignment horizontal="center" vertical="center"/>
    </xf>
    <xf numFmtId="174" fontId="193" fillId="6" borderId="91" xfId="0" applyNumberFormat="1" applyFont="1" applyFill="1" applyBorder="1" applyAlignment="1">
      <alignment horizontal="center" vertical="center"/>
    </xf>
    <xf numFmtId="322" fontId="51" fillId="0" borderId="0" xfId="0" applyNumberFormat="1" applyFont="1" applyAlignment="1">
      <alignment horizontal="center" vertical="center"/>
    </xf>
    <xf numFmtId="0" fontId="0" fillId="0" borderId="0" xfId="0" applyAlignment="1">
      <alignment horizontal="center" vertical="center"/>
    </xf>
    <xf numFmtId="0" fontId="92" fillId="9" borderId="71" xfId="0" applyFont="1" applyFill="1" applyBorder="1" applyAlignment="1">
      <alignment horizontal="center" vertical="center" shrinkToFit="1"/>
    </xf>
    <xf numFmtId="0" fontId="92" fillId="9" borderId="64" xfId="0" applyFont="1" applyFill="1" applyBorder="1" applyAlignment="1">
      <alignment horizontal="center" vertical="center" shrinkToFit="1"/>
    </xf>
    <xf numFmtId="170" fontId="6" fillId="0" borderId="0" xfId="0" applyNumberFormat="1" applyFont="1" applyAlignment="1">
      <alignment vertical="center"/>
    </xf>
    <xf numFmtId="0" fontId="0" fillId="0" borderId="0" xfId="0" applyAlignment="1">
      <alignment vertical="center"/>
    </xf>
    <xf numFmtId="0" fontId="92" fillId="9" borderId="67" xfId="0" applyFont="1" applyFill="1" applyBorder="1" applyAlignment="1">
      <alignment horizontal="center" vertical="center" shrinkToFit="1"/>
    </xf>
    <xf numFmtId="0" fontId="6" fillId="0" borderId="66" xfId="0" applyFont="1" applyBorder="1" applyAlignment="1">
      <alignment horizontal="center" vertical="center"/>
    </xf>
    <xf numFmtId="0" fontId="92" fillId="9" borderId="26" xfId="0" applyFont="1" applyFill="1" applyBorder="1" applyAlignment="1">
      <alignment horizontal="center" vertical="center" shrinkToFit="1"/>
    </xf>
    <xf numFmtId="0" fontId="92" fillId="9" borderId="30" xfId="0" applyFont="1" applyFill="1" applyBorder="1" applyAlignment="1">
      <alignment horizontal="center" vertical="center" shrinkToFit="1"/>
    </xf>
    <xf numFmtId="0" fontId="7" fillId="9" borderId="30" xfId="0" applyFont="1" applyFill="1" applyBorder="1" applyAlignment="1">
      <alignment horizontal="center" vertical="center" shrinkToFit="1"/>
    </xf>
    <xf numFmtId="169" fontId="92" fillId="9" borderId="35" xfId="0" applyNumberFormat="1" applyFont="1" applyFill="1" applyBorder="1" applyAlignment="1">
      <alignment horizontal="center" vertical="center" shrinkToFit="1"/>
    </xf>
    <xf numFmtId="169" fontId="92" fillId="9" borderId="66" xfId="0" applyNumberFormat="1" applyFont="1" applyFill="1" applyBorder="1" applyAlignment="1">
      <alignment horizontal="center" vertical="center" shrinkToFit="1"/>
    </xf>
    <xf numFmtId="0" fontId="6" fillId="9" borderId="66" xfId="0" applyFont="1" applyFill="1" applyBorder="1" applyAlignment="1">
      <alignment horizontal="center" vertical="center" shrinkToFit="1"/>
    </xf>
    <xf numFmtId="0" fontId="92" fillId="9" borderId="67" xfId="0" applyFont="1" applyFill="1" applyBorder="1" applyAlignment="1">
      <alignment horizontal="left" vertical="center" shrinkToFit="1"/>
    </xf>
    <xf numFmtId="0" fontId="92" fillId="9" borderId="66" xfId="0" applyFont="1" applyFill="1" applyBorder="1" applyAlignment="1">
      <alignment horizontal="left" vertical="center" shrinkToFit="1"/>
    </xf>
    <xf numFmtId="0" fontId="7" fillId="9" borderId="66" xfId="0" applyFont="1" applyFill="1" applyBorder="1" applyAlignment="1">
      <alignment horizontal="left" vertical="center" shrinkToFit="1"/>
    </xf>
    <xf numFmtId="0" fontId="149" fillId="9" borderId="16" xfId="0" quotePrefix="1" applyFont="1" applyFill="1" applyBorder="1" applyAlignment="1">
      <alignment horizontal="justify" vertical="center" wrapText="1"/>
    </xf>
    <xf numFmtId="0" fontId="149" fillId="9" borderId="0" xfId="0" quotePrefix="1" applyFont="1" applyFill="1" applyAlignment="1">
      <alignment horizontal="justify" vertical="center" wrapText="1"/>
    </xf>
    <xf numFmtId="0" fontId="0" fillId="0" borderId="0" xfId="0" applyAlignment="1">
      <alignment horizontal="justify" vertical="center" wrapText="1"/>
    </xf>
    <xf numFmtId="0" fontId="0" fillId="0" borderId="15" xfId="0" applyBorder="1" applyAlignment="1">
      <alignment horizontal="justify" vertical="center" wrapText="1"/>
    </xf>
    <xf numFmtId="0" fontId="0" fillId="0" borderId="16" xfId="0" applyBorder="1" applyAlignment="1">
      <alignment horizontal="justify" vertical="center" wrapText="1"/>
    </xf>
    <xf numFmtId="0" fontId="87" fillId="9" borderId="66" xfId="0" applyFont="1" applyFill="1" applyBorder="1" applyAlignment="1">
      <alignment horizontal="center" vertical="center" shrinkToFit="1"/>
    </xf>
    <xf numFmtId="275" fontId="102" fillId="0" borderId="67" xfId="0" applyNumberFormat="1" applyFont="1" applyBorder="1" applyAlignment="1" applyProtection="1">
      <alignment horizontal="center" vertical="center" shrinkToFit="1"/>
      <protection locked="0"/>
    </xf>
    <xf numFmtId="275" fontId="102" fillId="0" borderId="69" xfId="0" applyNumberFormat="1" applyFont="1" applyBorder="1" applyAlignment="1" applyProtection="1">
      <alignment horizontal="center" vertical="center" shrinkToFit="1"/>
      <protection locked="0"/>
    </xf>
    <xf numFmtId="275" fontId="46" fillId="0" borderId="67" xfId="0" applyNumberFormat="1" applyFont="1" applyBorder="1" applyAlignment="1" applyProtection="1">
      <alignment horizontal="center" vertical="center" shrinkToFit="1"/>
      <protection locked="0"/>
    </xf>
    <xf numFmtId="0" fontId="0" fillId="0" borderId="66" xfId="0" applyBorder="1" applyAlignment="1">
      <alignment horizontal="center" vertical="center" shrinkToFit="1"/>
    </xf>
    <xf numFmtId="287" fontId="72" fillId="0" borderId="67" xfId="0" applyNumberFormat="1" applyFont="1" applyBorder="1" applyAlignment="1" applyProtection="1">
      <alignment horizontal="center" vertical="center" shrinkToFit="1"/>
      <protection locked="0"/>
    </xf>
    <xf numFmtId="287" fontId="0" fillId="0" borderId="69" xfId="0" applyNumberFormat="1" applyBorder="1" applyAlignment="1" applyProtection="1">
      <alignment horizontal="center" vertical="center"/>
      <protection locked="0"/>
    </xf>
    <xf numFmtId="194" fontId="46" fillId="0" borderId="67" xfId="0" applyNumberFormat="1" applyFont="1" applyBorder="1" applyAlignment="1" applyProtection="1">
      <alignment horizontal="center" vertical="center" shrinkToFit="1"/>
      <protection locked="0"/>
    </xf>
    <xf numFmtId="0" fontId="0" fillId="0" borderId="66" xfId="0" applyBorder="1" applyAlignment="1" applyProtection="1">
      <alignment horizontal="center" vertical="center"/>
      <protection locked="0"/>
    </xf>
    <xf numFmtId="0" fontId="0" fillId="0" borderId="69" xfId="0" applyBorder="1" applyAlignment="1" applyProtection="1">
      <alignment horizontal="center" vertical="center"/>
      <protection locked="0"/>
    </xf>
    <xf numFmtId="194" fontId="43" fillId="11" borderId="67" xfId="0" applyNumberFormat="1" applyFont="1" applyFill="1" applyBorder="1" applyAlignment="1">
      <alignment horizontal="center" vertical="center" shrinkToFit="1"/>
    </xf>
    <xf numFmtId="194" fontId="43" fillId="11" borderId="66" xfId="0" applyNumberFormat="1" applyFont="1" applyFill="1" applyBorder="1" applyAlignment="1">
      <alignment horizontal="center" vertical="center" shrinkToFit="1"/>
    </xf>
    <xf numFmtId="194" fontId="43" fillId="11" borderId="69" xfId="0" applyNumberFormat="1" applyFont="1" applyFill="1" applyBorder="1" applyAlignment="1">
      <alignment horizontal="center" vertical="center" shrinkToFit="1"/>
    </xf>
    <xf numFmtId="0" fontId="7" fillId="9" borderId="67" xfId="0" applyFont="1" applyFill="1" applyBorder="1" applyAlignment="1">
      <alignment horizontal="center" vertical="center" shrinkToFit="1"/>
    </xf>
    <xf numFmtId="287" fontId="7" fillId="11" borderId="69" xfId="0" applyNumberFormat="1" applyFont="1" applyFill="1" applyBorder="1" applyAlignment="1">
      <alignment horizontal="center" vertical="center" shrinkToFit="1"/>
    </xf>
    <xf numFmtId="287" fontId="7" fillId="11" borderId="66" xfId="0" applyNumberFormat="1" applyFont="1" applyFill="1" applyBorder="1" applyAlignment="1">
      <alignment horizontal="center" vertical="center" shrinkToFit="1"/>
    </xf>
    <xf numFmtId="287" fontId="7" fillId="11" borderId="121" xfId="0" applyNumberFormat="1" applyFont="1" applyFill="1" applyBorder="1" applyAlignment="1">
      <alignment horizontal="center" vertical="center" shrinkToFit="1"/>
    </xf>
    <xf numFmtId="275" fontId="43" fillId="11" borderId="67" xfId="0" applyNumberFormat="1" applyFont="1" applyFill="1" applyBorder="1" applyAlignment="1">
      <alignment horizontal="center" vertical="center" shrinkToFit="1"/>
    </xf>
    <xf numFmtId="275" fontId="43" fillId="11" borderId="66" xfId="0" applyNumberFormat="1" applyFont="1" applyFill="1" applyBorder="1" applyAlignment="1">
      <alignment horizontal="center" vertical="center" shrinkToFit="1"/>
    </xf>
    <xf numFmtId="275" fontId="43" fillId="11" borderId="69" xfId="0" applyNumberFormat="1" applyFont="1" applyFill="1" applyBorder="1" applyAlignment="1">
      <alignment horizontal="center" vertical="center" shrinkToFit="1"/>
    </xf>
    <xf numFmtId="320" fontId="46" fillId="0" borderId="66" xfId="0" applyNumberFormat="1" applyFont="1" applyBorder="1" applyAlignment="1" applyProtection="1">
      <alignment horizontal="center" vertical="center"/>
      <protection locked="0"/>
    </xf>
    <xf numFmtId="0" fontId="103" fillId="0" borderId="66" xfId="0" applyFont="1" applyBorder="1" applyAlignment="1">
      <alignment horizontal="center" vertical="center"/>
    </xf>
    <xf numFmtId="0" fontId="103" fillId="0" borderId="69" xfId="0" applyFont="1" applyBorder="1" applyAlignment="1">
      <alignment horizontal="center" vertical="center"/>
    </xf>
    <xf numFmtId="320" fontId="7" fillId="11" borderId="66" xfId="0" applyNumberFormat="1" applyFont="1" applyFill="1" applyBorder="1" applyAlignment="1">
      <alignment horizontal="center" vertical="center"/>
    </xf>
    <xf numFmtId="0" fontId="0" fillId="0" borderId="66" xfId="0" applyBorder="1" applyAlignment="1">
      <alignment horizontal="center" vertical="center"/>
    </xf>
    <xf numFmtId="0" fontId="0" fillId="0" borderId="69" xfId="0" applyBorder="1" applyAlignment="1">
      <alignment horizontal="center" vertical="center"/>
    </xf>
    <xf numFmtId="303" fontId="43" fillId="14" borderId="128" xfId="0" applyNumberFormat="1" applyFont="1" applyFill="1" applyBorder="1" applyAlignment="1">
      <alignment horizontal="center" vertical="center" shrinkToFit="1"/>
    </xf>
    <xf numFmtId="303" fontId="6" fillId="14" borderId="128" xfId="0" applyNumberFormat="1" applyFont="1" applyFill="1" applyBorder="1" applyAlignment="1">
      <alignment horizontal="center" vertical="center"/>
    </xf>
    <xf numFmtId="300" fontId="14" fillId="14" borderId="42" xfId="0" applyNumberFormat="1" applyFont="1" applyFill="1" applyBorder="1" applyAlignment="1">
      <alignment horizontal="center" vertical="center" shrinkToFit="1"/>
    </xf>
    <xf numFmtId="300" fontId="10" fillId="14" borderId="46" xfId="0" applyNumberFormat="1" applyFont="1" applyFill="1" applyBorder="1" applyAlignment="1">
      <alignment horizontal="center" vertical="center"/>
    </xf>
    <xf numFmtId="2" fontId="97" fillId="9" borderId="26" xfId="0" quotePrefix="1" applyNumberFormat="1" applyFont="1" applyFill="1" applyBorder="1" applyAlignment="1">
      <alignment horizontal="center" vertical="center" wrapText="1"/>
    </xf>
    <xf numFmtId="2" fontId="159" fillId="9" borderId="30" xfId="0" applyNumberFormat="1" applyFont="1" applyFill="1" applyBorder="1" applyAlignment="1">
      <alignment horizontal="center" vertical="center" wrapText="1"/>
    </xf>
    <xf numFmtId="2" fontId="159" fillId="9" borderId="27" xfId="0" applyNumberFormat="1" applyFont="1" applyFill="1" applyBorder="1" applyAlignment="1">
      <alignment horizontal="center" vertical="center" wrapText="1"/>
    </xf>
    <xf numFmtId="196" fontId="7" fillId="11" borderId="67" xfId="0" applyNumberFormat="1" applyFont="1" applyFill="1" applyBorder="1" applyAlignment="1">
      <alignment horizontal="center" vertical="center"/>
    </xf>
    <xf numFmtId="196" fontId="7" fillId="11" borderId="66" xfId="0" applyNumberFormat="1" applyFont="1" applyFill="1" applyBorder="1" applyAlignment="1">
      <alignment horizontal="center" vertical="center"/>
    </xf>
    <xf numFmtId="196" fontId="7" fillId="11" borderId="69" xfId="0" applyNumberFormat="1" applyFont="1" applyFill="1" applyBorder="1" applyAlignment="1">
      <alignment horizontal="center" vertical="center"/>
    </xf>
    <xf numFmtId="206" fontId="7" fillId="0" borderId="67" xfId="0" applyNumberFormat="1" applyFont="1" applyBorder="1" applyAlignment="1">
      <alignment horizontal="center" vertical="center" shrinkToFit="1"/>
    </xf>
    <xf numFmtId="206" fontId="6" fillId="0" borderId="66" xfId="0" applyNumberFormat="1" applyFont="1" applyBorder="1" applyAlignment="1">
      <alignment horizontal="center" vertical="center" shrinkToFit="1"/>
    </xf>
    <xf numFmtId="206" fontId="6" fillId="0" borderId="69" xfId="0" applyNumberFormat="1" applyFont="1" applyBorder="1" applyAlignment="1">
      <alignment horizontal="center" vertical="center" shrinkToFit="1"/>
    </xf>
    <xf numFmtId="0" fontId="127" fillId="0" borderId="104" xfId="0" quotePrefix="1" applyFont="1" applyBorder="1" applyAlignment="1">
      <alignment horizontal="left" vertical="center" shrinkToFit="1"/>
    </xf>
    <xf numFmtId="0" fontId="0" fillId="0" borderId="104" xfId="0" applyBorder="1" applyAlignment="1">
      <alignment vertical="center"/>
    </xf>
    <xf numFmtId="0" fontId="127" fillId="0" borderId="23" xfId="2" quotePrefix="1" applyFont="1" applyBorder="1" applyAlignment="1" applyProtection="1">
      <alignment horizontal="center" vertical="center" shrinkToFit="1"/>
    </xf>
    <xf numFmtId="0" fontId="0" fillId="0" borderId="23" xfId="0" applyBorder="1" applyAlignment="1">
      <alignment vertical="center"/>
    </xf>
    <xf numFmtId="0" fontId="92" fillId="9" borderId="67" xfId="0" applyFont="1" applyFill="1" applyBorder="1" applyAlignment="1">
      <alignment horizontal="center" vertical="center"/>
    </xf>
    <xf numFmtId="0" fontId="92" fillId="9" borderId="66" xfId="0" applyFont="1" applyFill="1" applyBorder="1" applyAlignment="1">
      <alignment horizontal="center" vertical="center"/>
    </xf>
    <xf numFmtId="0" fontId="7" fillId="9" borderId="66" xfId="0" applyFont="1" applyFill="1" applyBorder="1" applyAlignment="1">
      <alignment horizontal="center" vertical="center"/>
    </xf>
    <xf numFmtId="301" fontId="14" fillId="14" borderId="42" xfId="0" applyNumberFormat="1" applyFont="1" applyFill="1" applyBorder="1" applyAlignment="1">
      <alignment horizontal="center" vertical="center"/>
    </xf>
    <xf numFmtId="301" fontId="10" fillId="14" borderId="42" xfId="0" applyNumberFormat="1" applyFont="1" applyFill="1" applyBorder="1" applyAlignment="1">
      <alignment horizontal="center" vertical="center"/>
    </xf>
    <xf numFmtId="0" fontId="92" fillId="2" borderId="102" xfId="0" applyFont="1" applyFill="1" applyBorder="1" applyAlignment="1">
      <alignment horizontal="left" vertical="center" indent="1"/>
    </xf>
    <xf numFmtId="0" fontId="0" fillId="0" borderId="145" xfId="0" applyBorder="1" applyAlignment="1">
      <alignment horizontal="left" vertical="center" indent="1"/>
    </xf>
    <xf numFmtId="0" fontId="0" fillId="0" borderId="149" xfId="0" applyBorder="1" applyAlignment="1">
      <alignment horizontal="left" vertical="center" indent="1"/>
    </xf>
    <xf numFmtId="0" fontId="0" fillId="0" borderId="72" xfId="0" applyBorder="1" applyAlignment="1">
      <alignment horizontal="left" vertical="center" indent="1"/>
    </xf>
    <xf numFmtId="0" fontId="183" fillId="0" borderId="144" xfId="0" applyFont="1" applyBorder="1" applyAlignment="1" applyProtection="1">
      <alignment horizontal="center" vertical="center" shrinkToFit="1"/>
      <protection locked="0"/>
    </xf>
    <xf numFmtId="0" fontId="185" fillId="0" borderId="91" xfId="0" applyFont="1" applyBorder="1" applyAlignment="1" applyProtection="1">
      <alignment horizontal="center" vertical="center" shrinkToFit="1"/>
      <protection locked="0"/>
    </xf>
    <xf numFmtId="0" fontId="185" fillId="0" borderId="148" xfId="0" applyFont="1" applyBorder="1" applyAlignment="1" applyProtection="1">
      <alignment horizontal="center" vertical="center" shrinkToFit="1"/>
      <protection locked="0"/>
    </xf>
    <xf numFmtId="0" fontId="128" fillId="9" borderId="16" xfId="0" applyFont="1" applyFill="1" applyBorder="1" applyAlignment="1">
      <alignment horizontal="justify" vertical="center"/>
    </xf>
    <xf numFmtId="0" fontId="20" fillId="0" borderId="0" xfId="0" applyFont="1" applyAlignment="1">
      <alignment horizontal="justify" vertical="center"/>
    </xf>
    <xf numFmtId="0" fontId="15" fillId="9" borderId="106" xfId="0" quotePrefix="1" applyFont="1" applyFill="1" applyBorder="1" applyAlignment="1">
      <alignment horizontal="justify" vertical="justify"/>
    </xf>
    <xf numFmtId="0" fontId="20" fillId="0" borderId="104" xfId="0" applyFont="1" applyBorder="1" applyAlignment="1">
      <alignment horizontal="justify"/>
    </xf>
    <xf numFmtId="0" fontId="123" fillId="3" borderId="23" xfId="0" applyFont="1" applyFill="1" applyBorder="1" applyAlignment="1">
      <alignment horizontal="center" vertical="center" shrinkToFit="1"/>
    </xf>
    <xf numFmtId="0" fontId="0" fillId="0" borderId="23" xfId="0" applyBorder="1" applyAlignment="1">
      <alignment horizontal="center" vertical="center" shrinkToFit="1"/>
    </xf>
    <xf numFmtId="0" fontId="57" fillId="3" borderId="23" xfId="2" applyFont="1" applyFill="1" applyBorder="1" applyAlignment="1" applyProtection="1">
      <alignment horizontal="center" vertical="center"/>
    </xf>
    <xf numFmtId="0" fontId="55" fillId="0" borderId="23" xfId="0" applyFont="1" applyBorder="1" applyAlignment="1">
      <alignment horizontal="center" vertical="center"/>
    </xf>
    <xf numFmtId="0" fontId="179" fillId="8" borderId="168" xfId="0" applyFont="1" applyFill="1" applyBorder="1" applyAlignment="1" applyProtection="1">
      <alignment horizontal="center" vertical="center" shrinkToFit="1"/>
      <protection locked="0"/>
    </xf>
    <xf numFmtId="0" fontId="179" fillId="8" borderId="160" xfId="0" applyFont="1" applyFill="1" applyBorder="1" applyAlignment="1" applyProtection="1">
      <alignment horizontal="center" vertical="center" shrinkToFit="1"/>
      <protection locked="0"/>
    </xf>
    <xf numFmtId="0" fontId="181" fillId="8" borderId="169" xfId="0" applyFont="1" applyFill="1" applyBorder="1" applyAlignment="1" applyProtection="1">
      <alignment horizontal="center" vertical="center"/>
      <protection locked="0"/>
    </xf>
    <xf numFmtId="2" fontId="7" fillId="11" borderId="106" xfId="0" applyNumberFormat="1" applyFont="1" applyFill="1" applyBorder="1" applyAlignment="1">
      <alignment horizontal="center" vertical="center" wrapText="1"/>
    </xf>
    <xf numFmtId="2" fontId="1" fillId="11" borderId="104" xfId="0" applyNumberFormat="1" applyFont="1" applyFill="1" applyBorder="1" applyAlignment="1">
      <alignment horizontal="center" vertical="center" wrapText="1"/>
    </xf>
    <xf numFmtId="2" fontId="1" fillId="11" borderId="105" xfId="0" applyNumberFormat="1" applyFont="1" applyFill="1" applyBorder="1" applyAlignment="1">
      <alignment horizontal="center" vertical="center" wrapText="1"/>
    </xf>
    <xf numFmtId="0" fontId="183" fillId="0" borderId="144" xfId="0" quotePrefix="1" applyFont="1" applyBorder="1" applyAlignment="1" applyProtection="1">
      <alignment horizontal="center" vertical="center" shrinkToFit="1"/>
      <protection locked="0"/>
    </xf>
    <xf numFmtId="0" fontId="181" fillId="0" borderId="91" xfId="0" applyFont="1" applyBorder="1" applyAlignment="1" applyProtection="1">
      <alignment horizontal="center" vertical="center"/>
      <protection locked="0"/>
    </xf>
    <xf numFmtId="178" fontId="7" fillId="0" borderId="67" xfId="0" applyNumberFormat="1" applyFont="1" applyBorder="1" applyAlignment="1">
      <alignment horizontal="center" vertical="center" shrinkToFit="1"/>
    </xf>
    <xf numFmtId="0" fontId="6" fillId="0" borderId="66" xfId="0" applyFont="1" applyBorder="1" applyAlignment="1">
      <alignment horizontal="center" vertical="center" shrinkToFit="1"/>
    </xf>
    <xf numFmtId="0" fontId="6" fillId="0" borderId="69" xfId="0" applyFont="1" applyBorder="1" applyAlignment="1">
      <alignment horizontal="center" vertical="center" shrinkToFit="1"/>
    </xf>
    <xf numFmtId="0" fontId="15" fillId="9" borderId="16" xfId="0" quotePrefix="1" applyFont="1" applyFill="1" applyBorder="1" applyAlignment="1">
      <alignment horizontal="justify" vertical="center"/>
    </xf>
    <xf numFmtId="0" fontId="0" fillId="0" borderId="0" xfId="0" applyAlignment="1">
      <alignment horizontal="justify" vertical="center"/>
    </xf>
    <xf numFmtId="0" fontId="161" fillId="5" borderId="70" xfId="2" applyFont="1" applyFill="1" applyBorder="1" applyAlignment="1" applyProtection="1">
      <alignment horizontal="center" vertical="center" shrinkToFit="1"/>
    </xf>
    <xf numFmtId="0" fontId="54" fillId="0" borderId="23" xfId="0" applyFont="1" applyBorder="1" applyAlignment="1">
      <alignment horizontal="center" vertical="center"/>
    </xf>
    <xf numFmtId="0" fontId="92" fillId="2" borderId="102" xfId="0" quotePrefix="1" applyFont="1" applyFill="1" applyBorder="1" applyAlignment="1">
      <alignment horizontal="left" vertical="center" indent="1" shrinkToFit="1"/>
    </xf>
    <xf numFmtId="0" fontId="0" fillId="0" borderId="35" xfId="0" applyBorder="1" applyAlignment="1">
      <alignment horizontal="left" vertical="center" indent="1"/>
    </xf>
    <xf numFmtId="0" fontId="92" fillId="9" borderId="102" xfId="0" applyFont="1" applyFill="1" applyBorder="1" applyAlignment="1">
      <alignment horizontal="center" vertical="center" wrapText="1" shrinkToFit="1"/>
    </xf>
    <xf numFmtId="0" fontId="7" fillId="9" borderId="102" xfId="0" applyFont="1" applyFill="1" applyBorder="1" applyAlignment="1">
      <alignment horizontal="center" vertical="center" wrapText="1" shrinkToFit="1"/>
    </xf>
    <xf numFmtId="0" fontId="92" fillId="9" borderId="32" xfId="0" quotePrefix="1" applyFont="1" applyFill="1" applyBorder="1" applyAlignment="1">
      <alignment horizontal="center" vertical="center" shrinkToFit="1"/>
    </xf>
    <xf numFmtId="0" fontId="6" fillId="9" borderId="64" xfId="0" applyFont="1" applyFill="1" applyBorder="1" applyAlignment="1">
      <alignment horizontal="center" vertical="center" shrinkToFit="1"/>
    </xf>
    <xf numFmtId="299" fontId="14" fillId="14" borderId="42" xfId="0" applyNumberFormat="1" applyFont="1" applyFill="1" applyBorder="1" applyAlignment="1">
      <alignment horizontal="center" vertical="center" shrinkToFit="1"/>
    </xf>
    <xf numFmtId="299" fontId="10" fillId="14" borderId="42" xfId="0" applyNumberFormat="1" applyFont="1" applyFill="1" applyBorder="1" applyAlignment="1">
      <alignment horizontal="center" vertical="center"/>
    </xf>
    <xf numFmtId="0" fontId="11" fillId="9" borderId="147" xfId="0" applyFont="1" applyFill="1" applyBorder="1" applyAlignment="1">
      <alignment horizontal="center" vertical="center" shrinkToFit="1"/>
    </xf>
    <xf numFmtId="0" fontId="10" fillId="0" borderId="147" xfId="0" applyFont="1" applyBorder="1" applyAlignment="1">
      <alignment vertical="center"/>
    </xf>
    <xf numFmtId="0" fontId="11" fillId="9" borderId="4" xfId="0" applyFont="1" applyFill="1" applyBorder="1" applyAlignment="1">
      <alignment horizontal="center" vertical="center" shrinkToFit="1"/>
    </xf>
    <xf numFmtId="0" fontId="10" fillId="0" borderId="4" xfId="0" applyFont="1" applyBorder="1" applyAlignment="1">
      <alignment horizontal="center" vertical="center"/>
    </xf>
    <xf numFmtId="321" fontId="7" fillId="11" borderId="73" xfId="0" applyNumberFormat="1" applyFont="1" applyFill="1" applyBorder="1" applyAlignment="1" applyProtection="1">
      <alignment horizontal="center" vertical="center" shrinkToFit="1"/>
      <protection locked="0"/>
    </xf>
    <xf numFmtId="321" fontId="0" fillId="0" borderId="130" xfId="0" applyNumberFormat="1" applyBorder="1" applyAlignment="1">
      <alignment horizontal="center" vertical="center" shrinkToFit="1"/>
    </xf>
    <xf numFmtId="321" fontId="0" fillId="0" borderId="104" xfId="0" applyNumberFormat="1" applyBorder="1" applyAlignment="1">
      <alignment horizontal="center" vertical="center" shrinkToFit="1"/>
    </xf>
    <xf numFmtId="321" fontId="0" fillId="0" borderId="105" xfId="0" applyNumberFormat="1" applyBorder="1" applyAlignment="1">
      <alignment horizontal="center" vertical="center" shrinkToFit="1"/>
    </xf>
    <xf numFmtId="303" fontId="94" fillId="14" borderId="137" xfId="0" applyNumberFormat="1" applyFont="1" applyFill="1" applyBorder="1" applyAlignment="1" applyProtection="1">
      <alignment horizontal="center" vertical="center"/>
      <protection locked="0"/>
    </xf>
    <xf numFmtId="303" fontId="94" fillId="14" borderId="128" xfId="0" applyNumberFormat="1" applyFont="1" applyFill="1" applyBorder="1" applyAlignment="1" applyProtection="1">
      <alignment horizontal="center" vertical="center"/>
      <protection locked="0"/>
    </xf>
    <xf numFmtId="49" fontId="184" fillId="0" borderId="127" xfId="0" applyNumberFormat="1" applyFont="1" applyBorder="1" applyAlignment="1" applyProtection="1">
      <alignment horizontal="center" vertical="center" shrinkToFit="1"/>
      <protection locked="0"/>
    </xf>
    <xf numFmtId="0" fontId="185" fillId="0" borderId="23" xfId="0" applyFont="1" applyBorder="1" applyAlignment="1" applyProtection="1">
      <alignment horizontal="center" vertical="center" shrinkToFit="1"/>
      <protection locked="0"/>
    </xf>
    <xf numFmtId="236" fontId="121" fillId="6" borderId="23" xfId="0" applyNumberFormat="1" applyFont="1" applyFill="1" applyBorder="1" applyAlignment="1">
      <alignment horizontal="center" vertical="center" shrinkToFit="1"/>
    </xf>
    <xf numFmtId="0" fontId="0" fillId="0" borderId="23" xfId="0" applyBorder="1" applyAlignment="1">
      <alignment horizontal="center" vertical="center"/>
    </xf>
    <xf numFmtId="199" fontId="45" fillId="0" borderId="67" xfId="0" applyNumberFormat="1" applyFont="1" applyBorder="1" applyAlignment="1">
      <alignment horizontal="center" vertical="center" shrinkToFit="1"/>
    </xf>
    <xf numFmtId="0" fontId="81" fillId="0" borderId="0" xfId="0" applyFont="1" applyAlignment="1">
      <alignment horizontal="center" vertical="center"/>
    </xf>
    <xf numFmtId="236" fontId="92" fillId="9" borderId="16" xfId="0" applyNumberFormat="1" applyFont="1" applyFill="1" applyBorder="1" applyAlignment="1">
      <alignment horizontal="center" vertical="center" wrapText="1"/>
    </xf>
    <xf numFmtId="236" fontId="7" fillId="9" borderId="16" xfId="0" applyNumberFormat="1" applyFont="1" applyFill="1" applyBorder="1" applyAlignment="1">
      <alignment horizontal="center" vertical="center" wrapText="1"/>
    </xf>
    <xf numFmtId="236" fontId="7" fillId="9" borderId="106" xfId="0" applyNumberFormat="1" applyFont="1" applyFill="1" applyBorder="1" applyAlignment="1">
      <alignment horizontal="center" vertical="center" wrapText="1"/>
    </xf>
    <xf numFmtId="282" fontId="7" fillId="11" borderId="103" xfId="0" applyNumberFormat="1" applyFont="1" applyFill="1" applyBorder="1" applyAlignment="1">
      <alignment horizontal="center" vertical="center" shrinkToFit="1"/>
    </xf>
    <xf numFmtId="282" fontId="7" fillId="11" borderId="54" xfId="0" applyNumberFormat="1" applyFont="1" applyFill="1" applyBorder="1" applyAlignment="1">
      <alignment horizontal="center" vertical="center" shrinkToFit="1"/>
    </xf>
    <xf numFmtId="0" fontId="92" fillId="9" borderId="107" xfId="0" applyFont="1" applyFill="1" applyBorder="1" applyAlignment="1">
      <alignment horizontal="center" vertical="center" wrapText="1"/>
    </xf>
    <xf numFmtId="0" fontId="6" fillId="9" borderId="3" xfId="0" applyFont="1" applyFill="1" applyBorder="1" applyAlignment="1">
      <alignment horizontal="center" vertical="center" wrapText="1"/>
    </xf>
    <xf numFmtId="0" fontId="6" fillId="9" borderId="106" xfId="0" applyFont="1" applyFill="1" applyBorder="1" applyAlignment="1">
      <alignment horizontal="center" vertical="center" wrapText="1"/>
    </xf>
    <xf numFmtId="0" fontId="6" fillId="9" borderId="104" xfId="0" applyFont="1" applyFill="1" applyBorder="1" applyAlignment="1">
      <alignment horizontal="center" vertical="center" wrapText="1"/>
    </xf>
    <xf numFmtId="236" fontId="121" fillId="7" borderId="104" xfId="0" applyNumberFormat="1" applyFont="1" applyFill="1" applyBorder="1" applyAlignment="1">
      <alignment horizontal="center" vertical="center" shrinkToFit="1"/>
    </xf>
    <xf numFmtId="0" fontId="10" fillId="0" borderId="104" xfId="0" applyFont="1" applyBorder="1" applyAlignment="1">
      <alignment horizontal="center" vertical="center" shrinkToFit="1"/>
    </xf>
    <xf numFmtId="236" fontId="121" fillId="6" borderId="0" xfId="0" applyNumberFormat="1" applyFont="1" applyFill="1" applyAlignment="1">
      <alignment horizontal="center" vertical="center" wrapText="1"/>
    </xf>
    <xf numFmtId="236" fontId="158" fillId="6" borderId="0" xfId="0" applyNumberFormat="1" applyFont="1" applyFill="1" applyAlignment="1">
      <alignment horizontal="center" vertical="center" wrapText="1"/>
    </xf>
    <xf numFmtId="236" fontId="173" fillId="9" borderId="172" xfId="0" applyNumberFormat="1" applyFont="1" applyFill="1" applyBorder="1" applyAlignment="1">
      <alignment horizontal="center" vertical="center" wrapText="1" shrinkToFit="1"/>
    </xf>
    <xf numFmtId="0" fontId="178" fillId="0" borderId="3" xfId="0" applyFont="1" applyBorder="1" applyAlignment="1">
      <alignment horizontal="center" vertical="center"/>
    </xf>
    <xf numFmtId="0" fontId="178" fillId="0" borderId="108" xfId="0" applyFont="1" applyBorder="1" applyAlignment="1">
      <alignment horizontal="center" vertical="center"/>
    </xf>
    <xf numFmtId="0" fontId="178" fillId="0" borderId="43" xfId="0" applyFont="1" applyBorder="1" applyAlignment="1">
      <alignment horizontal="center" vertical="center"/>
    </xf>
    <xf numFmtId="0" fontId="178" fillId="0" borderId="68" xfId="0" applyFont="1" applyBorder="1" applyAlignment="1">
      <alignment horizontal="center" vertical="center"/>
    </xf>
    <xf numFmtId="0" fontId="178" fillId="0" borderId="54" xfId="0" applyFont="1" applyBorder="1" applyAlignment="1">
      <alignment horizontal="center" vertical="center"/>
    </xf>
    <xf numFmtId="282" fontId="45" fillId="0" borderId="26" xfId="0" applyNumberFormat="1" applyFont="1" applyBorder="1" applyAlignment="1">
      <alignment horizontal="center" vertical="center" shrinkToFit="1"/>
    </xf>
    <xf numFmtId="282" fontId="6" fillId="0" borderId="30" xfId="0" applyNumberFormat="1" applyFont="1" applyBorder="1" applyAlignment="1">
      <alignment horizontal="center" vertical="center" shrinkToFit="1"/>
    </xf>
    <xf numFmtId="282" fontId="6" fillId="0" borderId="27" xfId="0" applyNumberFormat="1" applyFont="1" applyBorder="1" applyAlignment="1">
      <alignment horizontal="center" vertical="center" shrinkToFit="1"/>
    </xf>
    <xf numFmtId="236" fontId="91" fillId="9" borderId="42" xfId="0" quotePrefix="1" applyNumberFormat="1" applyFont="1" applyFill="1" applyBorder="1" applyAlignment="1">
      <alignment horizontal="center" vertical="center" shrinkToFit="1"/>
    </xf>
    <xf numFmtId="236" fontId="90" fillId="9" borderId="46" xfId="0" applyNumberFormat="1" applyFont="1" applyFill="1" applyBorder="1" applyAlignment="1">
      <alignment horizontal="center" vertical="center" shrinkToFit="1"/>
    </xf>
    <xf numFmtId="236" fontId="184" fillId="0" borderId="127" xfId="0" applyNumberFormat="1" applyFont="1" applyBorder="1" applyAlignment="1" applyProtection="1">
      <alignment horizontal="center" vertical="center" shrinkToFit="1"/>
      <protection locked="0"/>
    </xf>
    <xf numFmtId="236" fontId="184" fillId="0" borderId="23" xfId="0" applyNumberFormat="1" applyFont="1" applyBorder="1" applyAlignment="1" applyProtection="1">
      <alignment horizontal="center" vertical="center" shrinkToFit="1"/>
      <protection locked="0"/>
    </xf>
    <xf numFmtId="236" fontId="184" fillId="0" borderId="126" xfId="0" applyNumberFormat="1" applyFont="1" applyBorder="1" applyAlignment="1" applyProtection="1">
      <alignment horizontal="center" vertical="center" shrinkToFit="1"/>
      <protection locked="0"/>
    </xf>
    <xf numFmtId="319" fontId="43" fillId="11" borderId="158" xfId="0" applyNumberFormat="1" applyFont="1" applyFill="1" applyBorder="1" applyAlignment="1">
      <alignment horizontal="center" vertical="center" shrinkToFit="1"/>
    </xf>
    <xf numFmtId="319" fontId="135" fillId="11" borderId="146" xfId="0" applyNumberFormat="1" applyFont="1" applyFill="1" applyBorder="1" applyAlignment="1">
      <alignment horizontal="center" vertical="center"/>
    </xf>
    <xf numFmtId="237" fontId="7" fillId="11" borderId="67" xfId="0" applyNumberFormat="1" applyFont="1" applyFill="1" applyBorder="1" applyAlignment="1">
      <alignment horizontal="right" vertical="center" indent="3" shrinkToFit="1"/>
    </xf>
    <xf numFmtId="237" fontId="7" fillId="11" borderId="66" xfId="0" applyNumberFormat="1" applyFont="1" applyFill="1" applyBorder="1" applyAlignment="1">
      <alignment horizontal="right" vertical="center" indent="3" shrinkToFit="1"/>
    </xf>
    <xf numFmtId="237" fontId="6" fillId="11" borderId="69" xfId="0" applyNumberFormat="1" applyFont="1" applyFill="1" applyBorder="1" applyAlignment="1">
      <alignment horizontal="right" vertical="center" indent="3" shrinkToFit="1"/>
    </xf>
    <xf numFmtId="236" fontId="177" fillId="9" borderId="106" xfId="0" applyNumberFormat="1" applyFont="1" applyFill="1" applyBorder="1" applyAlignment="1">
      <alignment horizontal="right" vertical="center" shrinkToFit="1"/>
    </xf>
    <xf numFmtId="0" fontId="170" fillId="9" borderId="104" xfId="0" applyFont="1" applyFill="1" applyBorder="1" applyAlignment="1">
      <alignment horizontal="right" vertical="center" shrinkToFit="1"/>
    </xf>
    <xf numFmtId="236" fontId="177" fillId="9" borderId="178" xfId="0" applyNumberFormat="1" applyFont="1" applyFill="1" applyBorder="1" applyAlignment="1">
      <alignment horizontal="center" vertical="center" shrinkToFit="1"/>
    </xf>
    <xf numFmtId="0" fontId="170" fillId="9" borderId="21" xfId="0" applyFont="1" applyFill="1" applyBorder="1" applyAlignment="1">
      <alignment horizontal="center" vertical="center" shrinkToFit="1"/>
    </xf>
    <xf numFmtId="0" fontId="170" fillId="9" borderId="92" xfId="0" applyFont="1" applyFill="1" applyBorder="1" applyAlignment="1">
      <alignment horizontal="center" vertical="center" shrinkToFit="1"/>
    </xf>
    <xf numFmtId="236" fontId="173" fillId="9" borderId="102" xfId="0" applyNumberFormat="1" applyFont="1" applyFill="1" applyBorder="1" applyAlignment="1">
      <alignment horizontal="center" vertical="center" shrinkToFit="1"/>
    </xf>
    <xf numFmtId="236" fontId="173" fillId="9" borderId="158" xfId="0" applyNumberFormat="1" applyFont="1" applyFill="1" applyBorder="1" applyAlignment="1">
      <alignment horizontal="center" vertical="center" shrinkToFit="1"/>
    </xf>
    <xf numFmtId="236" fontId="174" fillId="0" borderId="145" xfId="0" applyNumberFormat="1" applyFont="1" applyBorder="1" applyAlignment="1">
      <alignment horizontal="center" vertical="center" shrinkToFit="1"/>
    </xf>
    <xf numFmtId="0" fontId="87" fillId="9" borderId="107" xfId="0" applyFont="1" applyFill="1" applyBorder="1" applyAlignment="1">
      <alignment horizontal="center" vertical="center" wrapText="1"/>
    </xf>
    <xf numFmtId="0" fontId="87" fillId="9" borderId="3" xfId="0" applyFont="1" applyFill="1" applyBorder="1" applyAlignment="1">
      <alignment horizontal="center" vertical="center" wrapText="1"/>
    </xf>
    <xf numFmtId="0" fontId="88" fillId="9" borderId="108" xfId="0" applyFont="1" applyFill="1" applyBorder="1" applyAlignment="1">
      <alignment horizontal="center" vertical="center" wrapText="1"/>
    </xf>
    <xf numFmtId="0" fontId="88" fillId="9" borderId="106" xfId="0" applyFont="1" applyFill="1" applyBorder="1" applyAlignment="1">
      <alignment horizontal="center" vertical="center" wrapText="1"/>
    </xf>
    <xf numFmtId="0" fontId="88" fillId="9" borderId="104" xfId="0" applyFont="1" applyFill="1" applyBorder="1" applyAlignment="1">
      <alignment horizontal="center" vertical="center" wrapText="1"/>
    </xf>
    <xf numFmtId="0" fontId="88" fillId="9" borderId="105" xfId="0" applyFont="1" applyFill="1" applyBorder="1" applyAlignment="1">
      <alignment horizontal="center" vertical="center" wrapText="1"/>
    </xf>
    <xf numFmtId="236" fontId="173" fillId="9" borderId="25" xfId="0" applyNumberFormat="1" applyFont="1" applyFill="1" applyBorder="1" applyAlignment="1">
      <alignment horizontal="center" vertical="center" shrinkToFit="1"/>
    </xf>
    <xf numFmtId="236" fontId="173" fillId="9" borderId="118" xfId="0" applyNumberFormat="1" applyFont="1" applyFill="1" applyBorder="1" applyAlignment="1">
      <alignment horizontal="center" vertical="center" shrinkToFit="1"/>
    </xf>
    <xf numFmtId="236" fontId="174" fillId="9" borderId="42" xfId="0" applyNumberFormat="1" applyFont="1" applyFill="1" applyBorder="1" applyAlignment="1">
      <alignment horizontal="center" vertical="center" shrinkToFit="1"/>
    </xf>
    <xf numFmtId="49" fontId="179" fillId="0" borderId="67" xfId="2" applyNumberFormat="1" applyFont="1" applyFill="1" applyBorder="1" applyAlignment="1" applyProtection="1">
      <alignment horizontal="center" vertical="center" shrinkToFit="1"/>
      <protection locked="0"/>
    </xf>
    <xf numFmtId="0" fontId="182" fillId="0" borderId="66" xfId="0" applyFont="1" applyBorder="1" applyAlignment="1">
      <alignment horizontal="center" vertical="center" shrinkToFit="1"/>
    </xf>
    <xf numFmtId="0" fontId="9" fillId="0" borderId="67" xfId="0" applyFont="1" applyBorder="1" applyAlignment="1">
      <alignment horizontal="center" vertical="center" shrinkToFit="1"/>
    </xf>
    <xf numFmtId="0" fontId="10" fillId="0" borderId="66" xfId="0" applyFont="1" applyBorder="1" applyAlignment="1">
      <alignment horizontal="center" vertical="center"/>
    </xf>
    <xf numFmtId="0" fontId="10" fillId="0" borderId="69" xfId="0" applyFont="1" applyBorder="1" applyAlignment="1">
      <alignment horizontal="center" vertical="center"/>
    </xf>
    <xf numFmtId="313" fontId="43" fillId="11" borderId="52" xfId="0" applyNumberFormat="1" applyFont="1" applyFill="1" applyBorder="1" applyAlignment="1">
      <alignment horizontal="center" vertical="center" shrinkToFit="1"/>
    </xf>
    <xf numFmtId="313" fontId="0" fillId="0" borderId="68" xfId="0" applyNumberFormat="1" applyBorder="1" applyAlignment="1">
      <alignment vertical="center"/>
    </xf>
    <xf numFmtId="313" fontId="0" fillId="0" borderId="54" xfId="0" applyNumberFormat="1" applyBorder="1" applyAlignment="1">
      <alignment vertical="center"/>
    </xf>
    <xf numFmtId="210" fontId="7" fillId="11" borderId="32" xfId="0" applyNumberFormat="1" applyFont="1" applyFill="1" applyBorder="1" applyAlignment="1">
      <alignment horizontal="center" vertical="center" shrinkToFit="1"/>
    </xf>
    <xf numFmtId="0" fontId="0" fillId="0" borderId="31" xfId="0" applyBorder="1" applyAlignment="1">
      <alignment horizontal="center" vertical="center" shrinkToFit="1"/>
    </xf>
    <xf numFmtId="288" fontId="7" fillId="11" borderId="137" xfId="0" applyNumberFormat="1" applyFont="1" applyFill="1" applyBorder="1" applyAlignment="1">
      <alignment horizontal="center" vertical="center" shrinkToFit="1"/>
    </xf>
    <xf numFmtId="0" fontId="0" fillId="11" borderId="128" xfId="0" applyFill="1" applyBorder="1" applyAlignment="1">
      <alignment horizontal="center" vertical="center"/>
    </xf>
    <xf numFmtId="0" fontId="0" fillId="11" borderId="129" xfId="0" applyFill="1" applyBorder="1" applyAlignment="1">
      <alignment horizontal="center" vertical="center"/>
    </xf>
    <xf numFmtId="209" fontId="43" fillId="11" borderId="32" xfId="0" applyNumberFormat="1" applyFont="1" applyFill="1" applyBorder="1" applyAlignment="1">
      <alignment horizontal="center" vertical="center" shrinkToFit="1"/>
    </xf>
    <xf numFmtId="209" fontId="43" fillId="11" borderId="64" xfId="0" applyNumberFormat="1" applyFont="1" applyFill="1" applyBorder="1" applyAlignment="1">
      <alignment horizontal="center" vertical="center" shrinkToFit="1"/>
    </xf>
    <xf numFmtId="209" fontId="43" fillId="11" borderId="31" xfId="0" applyNumberFormat="1" applyFont="1" applyFill="1" applyBorder="1" applyAlignment="1">
      <alignment horizontal="center" vertical="center" shrinkToFit="1"/>
    </xf>
    <xf numFmtId="0" fontId="149" fillId="9" borderId="16" xfId="0" applyFont="1" applyFill="1" applyBorder="1" applyAlignment="1">
      <alignment horizontal="justify" vertical="center" wrapText="1"/>
    </xf>
    <xf numFmtId="0" fontId="149" fillId="9" borderId="0" xfId="0" applyFont="1" applyFill="1" applyAlignment="1">
      <alignment horizontal="justify" vertical="center" wrapText="1"/>
    </xf>
    <xf numFmtId="0" fontId="149" fillId="9" borderId="15" xfId="0" applyFont="1" applyFill="1" applyBorder="1" applyAlignment="1">
      <alignment horizontal="justify" vertical="center" wrapText="1"/>
    </xf>
    <xf numFmtId="14" fontId="45" fillId="11" borderId="159" xfId="2" quotePrefix="1" applyNumberFormat="1" applyFont="1" applyFill="1" applyBorder="1" applyAlignment="1" applyProtection="1">
      <alignment horizontal="center" vertical="center" shrinkToFit="1"/>
    </xf>
    <xf numFmtId="14" fontId="0" fillId="11" borderId="129" xfId="0" applyNumberFormat="1" applyFill="1" applyBorder="1" applyAlignment="1">
      <alignment horizontal="center" vertical="center"/>
    </xf>
    <xf numFmtId="280" fontId="7" fillId="11" borderId="158" xfId="0" applyNumberFormat="1" applyFont="1" applyFill="1" applyBorder="1" applyAlignment="1">
      <alignment horizontal="center" vertical="center" shrinkToFit="1"/>
    </xf>
    <xf numFmtId="280" fontId="6" fillId="11" borderId="146" xfId="0" applyNumberFormat="1" applyFont="1" applyFill="1" applyBorder="1" applyAlignment="1">
      <alignment horizontal="center" vertical="center" shrinkToFit="1"/>
    </xf>
    <xf numFmtId="0" fontId="71" fillId="9" borderId="107" xfId="0" applyFont="1" applyFill="1" applyBorder="1" applyAlignment="1">
      <alignment horizontal="center" vertical="center" wrapText="1"/>
    </xf>
    <xf numFmtId="0" fontId="54" fillId="0" borderId="3" xfId="0" applyFont="1" applyBorder="1" applyAlignment="1">
      <alignment horizontal="center" vertical="center" wrapText="1"/>
    </xf>
    <xf numFmtId="0" fontId="54" fillId="0" borderId="108" xfId="0" applyFont="1" applyBorder="1" applyAlignment="1">
      <alignment horizontal="center" vertical="center" wrapText="1"/>
    </xf>
    <xf numFmtId="0" fontId="54" fillId="0" borderId="106" xfId="0" applyFont="1" applyBorder="1" applyAlignment="1">
      <alignment horizontal="center" vertical="center" wrapText="1"/>
    </xf>
    <xf numFmtId="0" fontId="54" fillId="0" borderId="104" xfId="0" applyFont="1" applyBorder="1" applyAlignment="1">
      <alignment horizontal="center" vertical="center" wrapText="1"/>
    </xf>
    <xf numFmtId="0" fontId="54" fillId="0" borderId="105" xfId="0" applyFont="1" applyBorder="1" applyAlignment="1">
      <alignment horizontal="center" vertical="center" wrapText="1"/>
    </xf>
    <xf numFmtId="0" fontId="87" fillId="9" borderId="107" xfId="2" applyFont="1" applyFill="1" applyBorder="1" applyAlignment="1" applyProtection="1">
      <alignment horizontal="center" vertical="center" shrinkToFit="1"/>
    </xf>
    <xf numFmtId="0" fontId="87" fillId="9" borderId="3" xfId="2" applyFont="1" applyFill="1" applyBorder="1" applyAlignment="1" applyProtection="1">
      <alignment horizontal="center" vertical="center" shrinkToFit="1"/>
    </xf>
    <xf numFmtId="0" fontId="7" fillId="0" borderId="3" xfId="0" applyFont="1" applyBorder="1" applyAlignment="1">
      <alignment horizontal="center" vertical="center" shrinkToFit="1"/>
    </xf>
    <xf numFmtId="0" fontId="7" fillId="0" borderId="122" xfId="0" applyFont="1" applyBorder="1" applyAlignment="1">
      <alignment horizontal="center" vertical="center" shrinkToFit="1"/>
    </xf>
    <xf numFmtId="0" fontId="139" fillId="9" borderId="23" xfId="0" applyFont="1" applyFill="1" applyBorder="1" applyAlignment="1">
      <alignment horizontal="center" vertical="center" wrapText="1" shrinkToFit="1"/>
    </xf>
    <xf numFmtId="306" fontId="102" fillId="0" borderId="67" xfId="0" applyNumberFormat="1" applyFont="1" applyBorder="1" applyAlignment="1" applyProtection="1">
      <alignment horizontal="center" vertical="center" shrinkToFit="1"/>
      <protection locked="0"/>
    </xf>
    <xf numFmtId="306" fontId="0" fillId="0" borderId="66" xfId="0" applyNumberFormat="1" applyBorder="1" applyAlignment="1" applyProtection="1">
      <alignment horizontal="center" vertical="center" shrinkToFit="1"/>
      <protection locked="0"/>
    </xf>
    <xf numFmtId="237" fontId="7" fillId="0" borderId="35" xfId="0" applyNumberFormat="1" applyFont="1" applyBorder="1" applyAlignment="1" applyProtection="1">
      <alignment horizontal="center" vertical="center" shrinkToFit="1"/>
      <protection locked="0"/>
    </xf>
    <xf numFmtId="0" fontId="1" fillId="0" borderId="69" xfId="0" applyFont="1" applyBorder="1" applyAlignment="1">
      <alignment horizontal="center" vertical="center" shrinkToFit="1"/>
    </xf>
    <xf numFmtId="209" fontId="7" fillId="0" borderId="32" xfId="0" applyNumberFormat="1" applyFont="1" applyBorder="1" applyAlignment="1">
      <alignment horizontal="center" vertical="center" shrinkToFit="1"/>
    </xf>
    <xf numFmtId="0" fontId="6" fillId="0" borderId="64" xfId="0" applyFont="1" applyBorder="1" applyAlignment="1">
      <alignment horizontal="center" vertical="center" shrinkToFit="1"/>
    </xf>
    <xf numFmtId="0" fontId="6" fillId="0" borderId="31" xfId="0" applyFont="1" applyBorder="1" applyAlignment="1">
      <alignment horizontal="center" vertical="center" shrinkToFit="1"/>
    </xf>
    <xf numFmtId="253" fontId="43" fillId="11" borderId="67" xfId="0" applyNumberFormat="1" applyFont="1" applyFill="1" applyBorder="1" applyAlignment="1">
      <alignment horizontal="center" vertical="center" shrinkToFit="1"/>
    </xf>
    <xf numFmtId="259" fontId="43" fillId="11" borderId="67" xfId="0" applyNumberFormat="1" applyFont="1" applyFill="1" applyBorder="1" applyAlignment="1">
      <alignment horizontal="center" vertical="center"/>
    </xf>
    <xf numFmtId="259" fontId="43" fillId="11" borderId="66" xfId="0" applyNumberFormat="1" applyFont="1" applyFill="1" applyBorder="1" applyAlignment="1">
      <alignment horizontal="center" vertical="center"/>
    </xf>
    <xf numFmtId="259" fontId="43" fillId="11" borderId="69" xfId="0" applyNumberFormat="1" applyFont="1" applyFill="1" applyBorder="1" applyAlignment="1">
      <alignment horizontal="center" vertical="center"/>
    </xf>
    <xf numFmtId="4" fontId="45" fillId="0" borderId="26" xfId="0" applyNumberFormat="1" applyFont="1" applyBorder="1" applyAlignment="1">
      <alignment horizontal="center" vertical="center" shrinkToFit="1"/>
    </xf>
    <xf numFmtId="0" fontId="6" fillId="0" borderId="30" xfId="0" applyFont="1" applyBorder="1" applyAlignment="1">
      <alignment horizontal="center" vertical="center" shrinkToFit="1"/>
    </xf>
    <xf numFmtId="0" fontId="6" fillId="0" borderId="27" xfId="0" applyFont="1" applyBorder="1" applyAlignment="1">
      <alignment horizontal="center" vertical="center" shrinkToFit="1"/>
    </xf>
    <xf numFmtId="259" fontId="97" fillId="9" borderId="67" xfId="0" applyNumberFormat="1" applyFont="1" applyFill="1" applyBorder="1" applyAlignment="1">
      <alignment horizontal="center" vertical="center" shrinkToFit="1"/>
    </xf>
    <xf numFmtId="259" fontId="96" fillId="9" borderId="66" xfId="0" applyNumberFormat="1" applyFont="1" applyFill="1" applyBorder="1" applyAlignment="1">
      <alignment horizontal="center" vertical="center" shrinkToFit="1"/>
    </xf>
    <xf numFmtId="259" fontId="96" fillId="9" borderId="69" xfId="0" applyNumberFormat="1" applyFont="1" applyFill="1" applyBorder="1" applyAlignment="1">
      <alignment horizontal="center" vertical="center" shrinkToFit="1"/>
    </xf>
    <xf numFmtId="199" fontId="43" fillId="11" borderId="67" xfId="0" applyNumberFormat="1" applyFont="1" applyFill="1" applyBorder="1" applyAlignment="1">
      <alignment horizontal="center" vertical="center" shrinkToFit="1"/>
    </xf>
    <xf numFmtId="199" fontId="43" fillId="11" borderId="66" xfId="0" applyNumberFormat="1" applyFont="1" applyFill="1" applyBorder="1" applyAlignment="1">
      <alignment horizontal="center" vertical="center" shrinkToFit="1"/>
    </xf>
    <xf numFmtId="199" fontId="43" fillId="11" borderId="69" xfId="0" applyNumberFormat="1" applyFont="1" applyFill="1" applyBorder="1" applyAlignment="1">
      <alignment horizontal="center" vertical="center" shrinkToFit="1"/>
    </xf>
    <xf numFmtId="236" fontId="173" fillId="9" borderId="119" xfId="0" applyNumberFormat="1" applyFont="1" applyFill="1" applyBorder="1" applyAlignment="1">
      <alignment horizontal="center" vertical="center" wrapText="1"/>
    </xf>
    <xf numFmtId="236" fontId="173" fillId="9" borderId="104" xfId="0" applyNumberFormat="1" applyFont="1" applyFill="1" applyBorder="1" applyAlignment="1">
      <alignment horizontal="center" vertical="center" wrapText="1"/>
    </xf>
    <xf numFmtId="236" fontId="174" fillId="9" borderId="104" xfId="0" applyNumberFormat="1" applyFont="1" applyFill="1" applyBorder="1" applyAlignment="1">
      <alignment horizontal="center" vertical="center" wrapText="1"/>
    </xf>
    <xf numFmtId="0" fontId="92" fillId="9" borderId="32" xfId="0" applyFont="1" applyFill="1" applyBorder="1" applyAlignment="1">
      <alignment horizontal="center" vertical="center" shrinkToFit="1"/>
    </xf>
    <xf numFmtId="4" fontId="43" fillId="11" borderId="33" xfId="0" applyNumberFormat="1" applyFont="1" applyFill="1" applyBorder="1" applyAlignment="1">
      <alignment horizontal="center" vertical="center" shrinkToFit="1"/>
    </xf>
    <xf numFmtId="4" fontId="43" fillId="11" borderId="27" xfId="0" applyNumberFormat="1" applyFont="1" applyFill="1" applyBorder="1" applyAlignment="1">
      <alignment horizontal="center" vertical="center" shrinkToFit="1"/>
    </xf>
    <xf numFmtId="0" fontId="92" fillId="9" borderId="67" xfId="0" quotePrefix="1" applyFont="1" applyFill="1" applyBorder="1" applyAlignment="1">
      <alignment horizontal="center" vertical="center" shrinkToFit="1"/>
    </xf>
    <xf numFmtId="0" fontId="7" fillId="9" borderId="66" xfId="0" applyFont="1" applyFill="1" applyBorder="1" applyAlignment="1">
      <alignment horizontal="center" vertical="center" shrinkToFit="1"/>
    </xf>
    <xf numFmtId="305" fontId="102" fillId="0" borderId="106" xfId="0" applyNumberFormat="1" applyFont="1" applyBorder="1" applyAlignment="1" applyProtection="1">
      <alignment horizontal="center" vertical="center" shrinkToFit="1"/>
      <protection locked="0"/>
    </xf>
    <xf numFmtId="305" fontId="0" fillId="0" borderId="104" xfId="0" applyNumberFormat="1" applyBorder="1" applyAlignment="1" applyProtection="1">
      <alignment horizontal="center" vertical="center" shrinkToFit="1"/>
      <protection locked="0"/>
    </xf>
    <xf numFmtId="237" fontId="7" fillId="0" borderId="119" xfId="0" applyNumberFormat="1" applyFont="1" applyBorder="1" applyAlignment="1" applyProtection="1">
      <alignment horizontal="center" vertical="center" shrinkToFit="1"/>
      <protection locked="0"/>
    </xf>
    <xf numFmtId="0" fontId="1" fillId="0" borderId="105" xfId="0" applyFont="1" applyBorder="1" applyAlignment="1">
      <alignment horizontal="center" vertical="center" shrinkToFit="1"/>
    </xf>
    <xf numFmtId="0" fontId="136" fillId="9" borderId="25" xfId="0" applyFont="1" applyFill="1" applyBorder="1" applyAlignment="1">
      <alignment horizontal="center" vertical="center" wrapText="1"/>
    </xf>
    <xf numFmtId="0" fontId="92" fillId="9" borderId="102" xfId="0" applyFont="1" applyFill="1" applyBorder="1" applyAlignment="1">
      <alignment horizontal="center" vertical="center" wrapText="1"/>
    </xf>
    <xf numFmtId="0" fontId="121" fillId="3" borderId="23" xfId="0" quotePrefix="1" applyFont="1" applyFill="1" applyBorder="1" applyAlignment="1">
      <alignment horizontal="center" vertical="center"/>
    </xf>
    <xf numFmtId="174" fontId="7" fillId="11" borderId="26" xfId="0" applyNumberFormat="1" applyFont="1" applyFill="1" applyBorder="1" applyAlignment="1">
      <alignment horizontal="center" vertical="center"/>
    </xf>
    <xf numFmtId="174" fontId="7" fillId="11" borderId="30" xfId="0" applyNumberFormat="1" applyFont="1" applyFill="1" applyBorder="1" applyAlignment="1">
      <alignment horizontal="center" vertical="center"/>
    </xf>
    <xf numFmtId="174" fontId="7" fillId="11" borderId="27" xfId="0" applyNumberFormat="1" applyFont="1" applyFill="1" applyBorder="1" applyAlignment="1">
      <alignment horizontal="center" vertical="center"/>
    </xf>
    <xf numFmtId="0" fontId="92" fillId="9" borderId="35" xfId="0" applyFont="1" applyFill="1" applyBorder="1" applyAlignment="1">
      <alignment horizontal="center" vertical="center" shrinkToFit="1"/>
    </xf>
    <xf numFmtId="0" fontId="92" fillId="9" borderId="66" xfId="0" applyFont="1" applyFill="1" applyBorder="1" applyAlignment="1">
      <alignment horizontal="center" vertical="center" shrinkToFit="1"/>
    </xf>
    <xf numFmtId="0" fontId="6" fillId="9" borderId="66" xfId="0" applyFont="1" applyFill="1" applyBorder="1" applyAlignment="1">
      <alignment horizontal="center" vertical="center"/>
    </xf>
    <xf numFmtId="0" fontId="92" fillId="9" borderId="1" xfId="0" applyFont="1" applyFill="1" applyBorder="1" applyAlignment="1">
      <alignment horizontal="center" vertical="center" shrinkToFit="1"/>
    </xf>
    <xf numFmtId="0" fontId="6" fillId="9" borderId="30" xfId="0" applyFont="1" applyFill="1" applyBorder="1" applyAlignment="1">
      <alignment horizontal="center" vertical="center"/>
    </xf>
    <xf numFmtId="174" fontId="46" fillId="0" borderId="26" xfId="0" applyNumberFormat="1" applyFont="1" applyBorder="1" applyAlignment="1" applyProtection="1">
      <alignment horizontal="center" vertical="center"/>
      <protection locked="0"/>
    </xf>
    <xf numFmtId="0" fontId="98" fillId="0" borderId="30" xfId="0" applyFont="1" applyBorder="1" applyAlignment="1" applyProtection="1">
      <alignment horizontal="center" vertical="center"/>
      <protection locked="0"/>
    </xf>
    <xf numFmtId="0" fontId="98" fillId="0" borderId="27" xfId="0" applyFont="1" applyBorder="1" applyAlignment="1" applyProtection="1">
      <alignment horizontal="center" vertical="center"/>
      <protection locked="0"/>
    </xf>
    <xf numFmtId="2" fontId="7" fillId="0" borderId="26" xfId="0" applyNumberFormat="1" applyFont="1" applyBorder="1" applyAlignment="1">
      <alignment horizontal="center" vertical="center" wrapText="1"/>
    </xf>
    <xf numFmtId="2" fontId="6" fillId="0" borderId="30" xfId="0" applyNumberFormat="1" applyFont="1" applyBorder="1" applyAlignment="1">
      <alignment horizontal="center" vertical="center"/>
    </xf>
    <xf numFmtId="2" fontId="6" fillId="0" borderId="27" xfId="0" applyNumberFormat="1" applyFont="1" applyBorder="1" applyAlignment="1">
      <alignment horizontal="center" vertical="center"/>
    </xf>
    <xf numFmtId="206" fontId="97" fillId="9" borderId="67" xfId="0" applyNumberFormat="1" applyFont="1" applyFill="1" applyBorder="1" applyAlignment="1">
      <alignment horizontal="center" vertical="center" shrinkToFit="1"/>
    </xf>
    <xf numFmtId="0" fontId="96" fillId="9" borderId="66" xfId="0" applyFont="1" applyFill="1" applyBorder="1" applyAlignment="1">
      <alignment horizontal="center" vertical="center" shrinkToFit="1"/>
    </xf>
    <xf numFmtId="0" fontId="96" fillId="9" borderId="69" xfId="0" applyFont="1" applyFill="1" applyBorder="1" applyAlignment="1">
      <alignment horizontal="center" vertical="center" shrinkToFit="1"/>
    </xf>
    <xf numFmtId="302" fontId="14" fillId="14" borderId="25" xfId="0" applyNumberFormat="1" applyFont="1" applyFill="1" applyBorder="1" applyAlignment="1">
      <alignment horizontal="center" vertical="center"/>
    </xf>
    <xf numFmtId="302" fontId="10" fillId="14" borderId="42" xfId="0" applyNumberFormat="1" applyFont="1" applyFill="1" applyBorder="1" applyAlignment="1">
      <alignment horizontal="center" vertical="center"/>
    </xf>
    <xf numFmtId="204" fontId="45" fillId="11" borderId="149" xfId="0" applyNumberFormat="1" applyFont="1" applyFill="1" applyBorder="1" applyAlignment="1">
      <alignment horizontal="center" vertical="center" shrinkToFit="1"/>
    </xf>
    <xf numFmtId="0" fontId="0" fillId="11" borderId="116" xfId="0" applyFill="1" applyBorder="1" applyAlignment="1">
      <alignment horizontal="center" vertical="center"/>
    </xf>
    <xf numFmtId="207" fontId="46" fillId="0" borderId="25" xfId="0" applyNumberFormat="1" applyFont="1" applyBorder="1" applyAlignment="1" applyProtection="1">
      <alignment horizontal="right" vertical="center" indent="2" shrinkToFit="1"/>
      <protection locked="0"/>
    </xf>
    <xf numFmtId="0" fontId="0" fillId="0" borderId="42" xfId="0" applyBorder="1" applyAlignment="1" applyProtection="1">
      <alignment horizontal="right" vertical="center" indent="2"/>
      <protection locked="0"/>
    </xf>
    <xf numFmtId="0" fontId="0" fillId="0" borderId="153" xfId="0" applyBorder="1" applyAlignment="1" applyProtection="1">
      <alignment horizontal="right" vertical="center" indent="2"/>
      <protection locked="0"/>
    </xf>
    <xf numFmtId="0" fontId="0" fillId="0" borderId="147" xfId="0" applyBorder="1" applyAlignment="1">
      <alignment horizontal="left" vertical="center" indent="1"/>
    </xf>
    <xf numFmtId="0" fontId="6" fillId="0" borderId="145" xfId="0" applyFont="1" applyBorder="1" applyAlignment="1">
      <alignment horizontal="left" vertical="center" indent="1"/>
    </xf>
    <xf numFmtId="0" fontId="6" fillId="0" borderId="35" xfId="0" applyFont="1" applyBorder="1" applyAlignment="1">
      <alignment horizontal="left" vertical="center" indent="1"/>
    </xf>
    <xf numFmtId="278" fontId="7" fillId="11" borderId="158" xfId="0" applyNumberFormat="1" applyFont="1" applyFill="1" applyBorder="1" applyAlignment="1">
      <alignment horizontal="center" vertical="center" shrinkToFit="1"/>
    </xf>
    <xf numFmtId="278" fontId="0" fillId="11" borderId="145" xfId="0" applyNumberFormat="1" applyFill="1" applyBorder="1" applyAlignment="1">
      <alignment horizontal="center" vertical="center" shrinkToFit="1"/>
    </xf>
    <xf numFmtId="278" fontId="0" fillId="11" borderId="35" xfId="0" applyNumberFormat="1" applyFill="1" applyBorder="1" applyAlignment="1">
      <alignment horizontal="center" vertical="center" shrinkToFit="1"/>
    </xf>
    <xf numFmtId="0" fontId="123" fillId="3" borderId="23" xfId="0" applyFont="1" applyFill="1" applyBorder="1" applyAlignment="1">
      <alignment horizontal="right" vertical="center" shrinkToFit="1"/>
    </xf>
    <xf numFmtId="277" fontId="48" fillId="0" borderId="144" xfId="0" applyNumberFormat="1" applyFont="1" applyBorder="1" applyAlignment="1" applyProtection="1">
      <alignment horizontal="center" vertical="center"/>
      <protection locked="0"/>
    </xf>
    <xf numFmtId="0" fontId="0" fillId="0" borderId="148" xfId="0" applyBorder="1" applyAlignment="1" applyProtection="1">
      <alignment horizontal="center" vertical="center"/>
      <protection locked="0"/>
    </xf>
    <xf numFmtId="2" fontId="97" fillId="9" borderId="32" xfId="0" applyNumberFormat="1" applyFont="1" applyFill="1" applyBorder="1" applyAlignment="1">
      <alignment horizontal="center" vertical="center"/>
    </xf>
    <xf numFmtId="2" fontId="96" fillId="9" borderId="64" xfId="0" applyNumberFormat="1" applyFont="1" applyFill="1" applyBorder="1" applyAlignment="1">
      <alignment horizontal="center" vertical="center"/>
    </xf>
    <xf numFmtId="2" fontId="96" fillId="9" borderId="31" xfId="0" applyNumberFormat="1" applyFont="1" applyFill="1" applyBorder="1" applyAlignment="1">
      <alignment horizontal="center" vertical="center"/>
    </xf>
    <xf numFmtId="0" fontId="122" fillId="3" borderId="23" xfId="0" quotePrefix="1" applyFont="1" applyFill="1" applyBorder="1" applyAlignment="1">
      <alignment horizontal="center" vertical="center" shrinkToFit="1"/>
    </xf>
    <xf numFmtId="0" fontId="92" fillId="9" borderId="121" xfId="0" applyFont="1" applyFill="1" applyBorder="1" applyAlignment="1">
      <alignment horizontal="left" vertical="center" indent="1" shrinkToFit="1"/>
    </xf>
    <xf numFmtId="0" fontId="92" fillId="9" borderId="66" xfId="0" applyFont="1" applyFill="1" applyBorder="1" applyAlignment="1">
      <alignment horizontal="left" vertical="center" indent="1" shrinkToFit="1"/>
    </xf>
    <xf numFmtId="0" fontId="7" fillId="9" borderId="67" xfId="0" applyFont="1" applyFill="1" applyBorder="1" applyAlignment="1">
      <alignment horizontal="left" vertical="center" indent="1" shrinkToFit="1"/>
    </xf>
    <xf numFmtId="0" fontId="92" fillId="9" borderId="70" xfId="0" applyFont="1" applyFill="1" applyBorder="1" applyAlignment="1">
      <alignment horizontal="center" vertical="center" shrinkToFit="1"/>
    </xf>
    <xf numFmtId="0" fontId="0" fillId="0" borderId="23" xfId="0" applyBorder="1" applyAlignment="1">
      <alignment vertical="center" shrinkToFit="1"/>
    </xf>
    <xf numFmtId="0" fontId="0" fillId="0" borderId="17" xfId="0" applyBorder="1" applyAlignment="1">
      <alignment vertical="center" shrinkToFit="1"/>
    </xf>
    <xf numFmtId="199" fontId="133" fillId="9" borderId="32" xfId="0" applyNumberFormat="1" applyFont="1" applyFill="1" applyBorder="1" applyAlignment="1">
      <alignment horizontal="center" vertical="center" shrinkToFit="1"/>
    </xf>
    <xf numFmtId="199" fontId="134" fillId="9" borderId="64" xfId="0" applyNumberFormat="1" applyFont="1" applyFill="1" applyBorder="1" applyAlignment="1">
      <alignment horizontal="center" vertical="center" shrinkToFit="1"/>
    </xf>
    <xf numFmtId="199" fontId="134" fillId="9" borderId="31" xfId="0" applyNumberFormat="1" applyFont="1" applyFill="1" applyBorder="1" applyAlignment="1">
      <alignment horizontal="center" vertical="center" shrinkToFit="1"/>
    </xf>
    <xf numFmtId="0" fontId="92" fillId="9" borderId="1" xfId="0" quotePrefix="1" applyFont="1" applyFill="1" applyBorder="1" applyAlignment="1">
      <alignment horizontal="center" vertical="center" shrinkToFit="1"/>
    </xf>
    <xf numFmtId="0" fontId="92" fillId="9" borderId="107" xfId="0" quotePrefix="1" applyFont="1" applyFill="1" applyBorder="1" applyAlignment="1">
      <alignment horizontal="center" vertical="center" wrapText="1" shrinkToFit="1"/>
    </xf>
    <xf numFmtId="0" fontId="6" fillId="9" borderId="122" xfId="0" applyFont="1" applyFill="1" applyBorder="1" applyAlignment="1">
      <alignment horizontal="center" vertical="center" wrapText="1" shrinkToFit="1"/>
    </xf>
    <xf numFmtId="0" fontId="6" fillId="9" borderId="106" xfId="0" applyFont="1" applyFill="1" applyBorder="1" applyAlignment="1">
      <alignment horizontal="center" vertical="center" wrapText="1" shrinkToFit="1"/>
    </xf>
    <xf numFmtId="0" fontId="6" fillId="9" borderId="123" xfId="0" applyFont="1" applyFill="1" applyBorder="1" applyAlignment="1">
      <alignment horizontal="center" vertical="center" wrapText="1" shrinkToFit="1"/>
    </xf>
    <xf numFmtId="309" fontId="7" fillId="11" borderId="70" xfId="0" applyNumberFormat="1" applyFont="1" applyFill="1" applyBorder="1" applyAlignment="1" applyProtection="1">
      <alignment horizontal="center" vertical="center" shrinkToFit="1"/>
      <protection locked="0"/>
    </xf>
    <xf numFmtId="0" fontId="0" fillId="0" borderId="17" xfId="0" applyBorder="1" applyAlignment="1">
      <alignment horizontal="center" vertical="center"/>
    </xf>
    <xf numFmtId="0" fontId="7" fillId="3" borderId="0" xfId="2" quotePrefix="1" applyFont="1" applyFill="1" applyBorder="1" applyAlignment="1" applyProtection="1">
      <alignment horizontal="center" vertical="center" shrinkToFit="1"/>
    </xf>
    <xf numFmtId="0" fontId="0" fillId="0" borderId="15" xfId="0" applyBorder="1" applyAlignment="1">
      <alignment horizontal="center" vertical="center"/>
    </xf>
    <xf numFmtId="0" fontId="70" fillId="3" borderId="75" xfId="0" applyFont="1" applyFill="1" applyBorder="1" applyAlignment="1">
      <alignment horizontal="center" vertical="center" wrapText="1"/>
    </xf>
    <xf numFmtId="0" fontId="70" fillId="3" borderId="76" xfId="0" applyFont="1" applyFill="1" applyBorder="1" applyAlignment="1">
      <alignment horizontal="center" vertical="center" wrapText="1"/>
    </xf>
    <xf numFmtId="0" fontId="70" fillId="3" borderId="77" xfId="0" applyFont="1" applyFill="1" applyBorder="1" applyAlignment="1">
      <alignment horizontal="center" vertical="center" wrapText="1"/>
    </xf>
    <xf numFmtId="0" fontId="70" fillId="3" borderId="0" xfId="0" applyFont="1" applyFill="1" applyAlignment="1">
      <alignment horizontal="center" vertical="center" wrapText="1"/>
    </xf>
    <xf numFmtId="196" fontId="7" fillId="0" borderId="67" xfId="0" applyNumberFormat="1" applyFont="1" applyBorder="1" applyAlignment="1">
      <alignment horizontal="center" vertical="center"/>
    </xf>
    <xf numFmtId="196" fontId="0" fillId="0" borderId="66" xfId="0" applyNumberFormat="1" applyBorder="1" applyAlignment="1">
      <alignment horizontal="center" vertical="center"/>
    </xf>
    <xf numFmtId="196" fontId="0" fillId="0" borderId="69" xfId="0" applyNumberFormat="1" applyBorder="1" applyAlignment="1">
      <alignment horizontal="center" vertical="center"/>
    </xf>
    <xf numFmtId="196" fontId="97" fillId="9" borderId="67" xfId="0" applyNumberFormat="1" applyFont="1" applyFill="1" applyBorder="1" applyAlignment="1">
      <alignment horizontal="center" vertical="center"/>
    </xf>
    <xf numFmtId="196" fontId="97" fillId="9" borderId="66" xfId="0" applyNumberFormat="1" applyFont="1" applyFill="1" applyBorder="1" applyAlignment="1">
      <alignment horizontal="center" vertical="center"/>
    </xf>
    <xf numFmtId="196" fontId="97" fillId="9" borderId="69" xfId="0" applyNumberFormat="1" applyFont="1" applyFill="1" applyBorder="1" applyAlignment="1">
      <alignment horizontal="center" vertical="center"/>
    </xf>
    <xf numFmtId="269" fontId="7" fillId="11" borderId="32" xfId="4" applyNumberFormat="1" applyFont="1" applyFill="1" applyBorder="1" applyAlignment="1">
      <alignment horizontal="center" vertical="center" shrinkToFit="1"/>
    </xf>
    <xf numFmtId="269" fontId="6" fillId="11" borderId="64" xfId="4" applyNumberFormat="1" applyFont="1" applyFill="1" applyBorder="1" applyAlignment="1">
      <alignment horizontal="center" vertical="center" shrinkToFit="1"/>
    </xf>
    <xf numFmtId="269" fontId="6" fillId="11" borderId="31" xfId="4" applyNumberFormat="1" applyFont="1" applyFill="1" applyBorder="1" applyAlignment="1">
      <alignment horizontal="center" vertical="center" shrinkToFit="1"/>
    </xf>
    <xf numFmtId="0" fontId="149" fillId="9" borderId="16" xfId="0" quotePrefix="1" applyFont="1" applyFill="1" applyBorder="1" applyAlignment="1">
      <alignment horizontal="justify" wrapText="1" shrinkToFit="1"/>
    </xf>
    <xf numFmtId="0" fontId="149" fillId="9" borderId="0" xfId="0" quotePrefix="1" applyFont="1" applyFill="1" applyAlignment="1">
      <alignment horizontal="justify" wrapText="1" shrinkToFit="1"/>
    </xf>
    <xf numFmtId="0" fontId="0" fillId="0" borderId="0" xfId="0" applyAlignment="1">
      <alignment horizontal="justify" wrapText="1"/>
    </xf>
    <xf numFmtId="0" fontId="0" fillId="0" borderId="7" xfId="0" applyBorder="1" applyAlignment="1">
      <alignment horizontal="justify" wrapText="1"/>
    </xf>
    <xf numFmtId="0" fontId="0" fillId="0" borderId="16" xfId="0" applyBorder="1" applyAlignment="1">
      <alignment horizontal="justify" wrapText="1"/>
    </xf>
    <xf numFmtId="0" fontId="15" fillId="9" borderId="104" xfId="0" quotePrefix="1" applyFont="1" applyFill="1" applyBorder="1" applyAlignment="1">
      <alignment horizontal="center" vertical="justify"/>
    </xf>
    <xf numFmtId="0" fontId="0" fillId="0" borderId="104" xfId="0" applyBorder="1" applyAlignment="1">
      <alignment horizontal="center"/>
    </xf>
    <xf numFmtId="251" fontId="7" fillId="14" borderId="166" xfId="0" applyNumberFormat="1" applyFont="1" applyFill="1" applyBorder="1" applyAlignment="1">
      <alignment horizontal="center" vertical="center" shrinkToFit="1"/>
    </xf>
    <xf numFmtId="251" fontId="6" fillId="14" borderId="145" xfId="0" applyNumberFormat="1" applyFont="1" applyFill="1" applyBorder="1" applyAlignment="1">
      <alignment vertical="center"/>
    </xf>
    <xf numFmtId="294" fontId="7" fillId="14" borderId="42" xfId="0" applyNumberFormat="1" applyFont="1" applyFill="1" applyBorder="1" applyAlignment="1">
      <alignment horizontal="center" vertical="center" shrinkToFit="1"/>
    </xf>
    <xf numFmtId="294" fontId="6" fillId="14" borderId="42" xfId="0" applyNumberFormat="1" applyFont="1" applyFill="1" applyBorder="1" applyAlignment="1">
      <alignment horizontal="center" vertical="center"/>
    </xf>
    <xf numFmtId="291" fontId="87" fillId="9" borderId="0" xfId="0" applyNumberFormat="1" applyFont="1" applyFill="1" applyAlignment="1" applyProtection="1">
      <alignment horizontal="center" vertical="center"/>
      <protection locked="0"/>
    </xf>
    <xf numFmtId="0" fontId="170" fillId="9" borderId="0" xfId="0" applyFont="1" applyFill="1" applyAlignment="1">
      <alignment vertical="center"/>
    </xf>
    <xf numFmtId="0" fontId="170" fillId="9" borderId="15" xfId="0" applyFont="1" applyFill="1" applyBorder="1" applyAlignment="1">
      <alignment vertical="center"/>
    </xf>
    <xf numFmtId="304" fontId="7" fillId="14" borderId="42" xfId="0" applyNumberFormat="1" applyFont="1" applyFill="1" applyBorder="1" applyAlignment="1">
      <alignment horizontal="center" vertical="center" shrinkToFit="1"/>
    </xf>
    <xf numFmtId="304" fontId="6" fillId="14" borderId="42" xfId="0" applyNumberFormat="1" applyFont="1" applyFill="1" applyBorder="1" applyAlignment="1">
      <alignment horizontal="center" vertical="center"/>
    </xf>
    <xf numFmtId="0" fontId="130" fillId="9" borderId="16" xfId="0" applyFont="1" applyFill="1" applyBorder="1" applyAlignment="1">
      <alignment horizontal="center" vertical="center"/>
    </xf>
    <xf numFmtId="0" fontId="130" fillId="9" borderId="0" xfId="0" applyFont="1" applyFill="1" applyAlignment="1">
      <alignment horizontal="center" vertical="center"/>
    </xf>
    <xf numFmtId="0" fontId="130" fillId="0" borderId="0" xfId="0" applyFont="1" applyAlignment="1">
      <alignment horizontal="center" vertical="center"/>
    </xf>
    <xf numFmtId="0" fontId="130" fillId="0" borderId="15" xfId="0" applyFont="1" applyBorder="1" applyAlignment="1">
      <alignment horizontal="center" vertical="center"/>
    </xf>
    <xf numFmtId="0" fontId="122" fillId="7" borderId="7" xfId="0" quotePrefix="1" applyFont="1" applyFill="1" applyBorder="1" applyAlignment="1">
      <alignment horizontal="left" vertical="center" indent="1" shrinkToFit="1"/>
    </xf>
    <xf numFmtId="0" fontId="6" fillId="0" borderId="4" xfId="0" applyFont="1" applyBorder="1" applyAlignment="1">
      <alignment horizontal="left" vertical="center" indent="1"/>
    </xf>
    <xf numFmtId="0" fontId="6" fillId="0" borderId="150" xfId="0" applyFont="1" applyBorder="1" applyAlignment="1">
      <alignment horizontal="left" vertical="center" indent="1"/>
    </xf>
    <xf numFmtId="290" fontId="7" fillId="11" borderId="32" xfId="0" applyNumberFormat="1" applyFont="1" applyFill="1" applyBorder="1" applyAlignment="1">
      <alignment horizontal="center" vertical="center"/>
    </xf>
    <xf numFmtId="0" fontId="0" fillId="0" borderId="64" xfId="0" applyBorder="1" applyAlignment="1">
      <alignment horizontal="center" vertical="center"/>
    </xf>
    <xf numFmtId="0" fontId="0" fillId="0" borderId="31" xfId="0" applyBorder="1" applyAlignment="1">
      <alignment horizontal="center" vertical="center"/>
    </xf>
    <xf numFmtId="0" fontId="56" fillId="9" borderId="16" xfId="0" applyFont="1" applyFill="1" applyBorder="1" applyAlignment="1">
      <alignment horizontal="justify" vertical="center" wrapText="1"/>
    </xf>
    <xf numFmtId="0" fontId="56" fillId="9" borderId="0" xfId="0" applyFont="1" applyFill="1" applyAlignment="1">
      <alignment horizontal="justify" vertical="center" wrapText="1"/>
    </xf>
    <xf numFmtId="0" fontId="149" fillId="9" borderId="16" xfId="0" applyFont="1" applyFill="1" applyBorder="1" applyAlignment="1">
      <alignment horizontal="justify" vertical="top" wrapText="1"/>
    </xf>
    <xf numFmtId="0" fontId="149" fillId="9" borderId="0" xfId="0" applyFont="1" applyFill="1" applyAlignment="1">
      <alignment horizontal="justify" vertical="top" wrapText="1"/>
    </xf>
    <xf numFmtId="0" fontId="0" fillId="0" borderId="0" xfId="0" applyAlignment="1">
      <alignment horizontal="justify" vertical="top" wrapText="1"/>
    </xf>
    <xf numFmtId="0" fontId="0" fillId="0" borderId="15" xfId="0" applyBorder="1" applyAlignment="1">
      <alignment horizontal="justify" vertical="top" wrapText="1"/>
    </xf>
    <xf numFmtId="0" fontId="0" fillId="0" borderId="16" xfId="0" applyBorder="1" applyAlignment="1">
      <alignment horizontal="justify" vertical="top" wrapText="1"/>
    </xf>
    <xf numFmtId="0" fontId="0" fillId="9" borderId="16" xfId="0" applyFill="1" applyBorder="1" applyAlignment="1" applyProtection="1">
      <alignment horizontal="center" vertical="center" wrapText="1"/>
      <protection locked="0"/>
    </xf>
    <xf numFmtId="0" fontId="0" fillId="9" borderId="0" xfId="0" applyFill="1" applyAlignment="1" applyProtection="1">
      <alignment horizontal="center" vertical="center" wrapText="1"/>
      <protection locked="0"/>
    </xf>
    <xf numFmtId="0" fontId="0" fillId="0" borderId="0" xfId="0" applyAlignment="1">
      <alignment horizontal="center" vertic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15" fillId="9" borderId="16" xfId="0" applyFont="1" applyFill="1" applyBorder="1" applyAlignment="1">
      <alignment horizontal="center"/>
    </xf>
    <xf numFmtId="0" fontId="15" fillId="9" borderId="0" xfId="0" applyFont="1" applyFill="1" applyAlignment="1">
      <alignment horizontal="center"/>
    </xf>
    <xf numFmtId="0" fontId="55" fillId="0" borderId="0" xfId="0" applyFont="1" applyAlignment="1">
      <alignment horizontal="center"/>
    </xf>
    <xf numFmtId="0" fontId="92" fillId="9" borderId="121" xfId="0" applyFont="1" applyFill="1" applyBorder="1" applyAlignment="1">
      <alignment horizontal="left" vertical="center" indent="1"/>
    </xf>
    <xf numFmtId="0" fontId="92" fillId="9" borderId="66" xfId="0" applyFont="1" applyFill="1" applyBorder="1" applyAlignment="1">
      <alignment horizontal="left" vertical="center" indent="1"/>
    </xf>
    <xf numFmtId="0" fontId="92" fillId="9" borderId="67" xfId="0" applyFont="1" applyFill="1" applyBorder="1" applyAlignment="1">
      <alignment horizontal="left" vertical="center" indent="1"/>
    </xf>
    <xf numFmtId="0" fontId="11" fillId="9" borderId="160" xfId="0" applyFont="1" applyFill="1" applyBorder="1" applyAlignment="1">
      <alignment horizontal="center" vertical="center" shrinkToFit="1"/>
    </xf>
    <xf numFmtId="0" fontId="10" fillId="0" borderId="160" xfId="0" applyFont="1" applyBorder="1" applyAlignment="1">
      <alignment horizontal="center" vertical="center" shrinkToFit="1"/>
    </xf>
    <xf numFmtId="171" fontId="44" fillId="0" borderId="107" xfId="0" applyNumberFormat="1" applyFont="1" applyBorder="1" applyAlignment="1" applyProtection="1">
      <alignment horizontal="center" vertical="center" shrinkToFit="1"/>
      <protection locked="0"/>
    </xf>
    <xf numFmtId="0" fontId="0" fillId="0" borderId="3" xfId="0" applyBorder="1" applyAlignment="1">
      <alignment horizontal="center" vertical="center" shrinkToFit="1"/>
    </xf>
    <xf numFmtId="0" fontId="0" fillId="0" borderId="161" xfId="0" applyBorder="1" applyAlignment="1">
      <alignment horizontal="center" vertical="center" shrinkToFit="1"/>
    </xf>
    <xf numFmtId="0" fontId="0" fillId="0" borderId="95" xfId="0" applyBorder="1" applyAlignment="1">
      <alignment horizontal="center" vertical="center" shrinkToFit="1"/>
    </xf>
    <xf numFmtId="0" fontId="0" fillId="0" borderId="11" xfId="0" applyBorder="1" applyAlignment="1">
      <alignment horizontal="center" vertical="center" shrinkToFit="1"/>
    </xf>
    <xf numFmtId="0" fontId="0" fillId="0" borderId="13" xfId="0" applyBorder="1" applyAlignment="1">
      <alignment horizontal="center" vertical="center" shrinkToFit="1"/>
    </xf>
    <xf numFmtId="0" fontId="91" fillId="9" borderId="137" xfId="0" quotePrefix="1" applyFont="1" applyFill="1" applyBorder="1" applyAlignment="1">
      <alignment horizontal="left" vertical="center" indent="1" shrinkToFit="1"/>
    </xf>
    <xf numFmtId="0" fontId="90" fillId="0" borderId="128" xfId="0" applyFont="1" applyBorder="1" applyAlignment="1">
      <alignment horizontal="left" vertical="center" indent="1"/>
    </xf>
    <xf numFmtId="0" fontId="90" fillId="0" borderId="165" xfId="0" applyFont="1" applyBorder="1" applyAlignment="1">
      <alignment horizontal="left" vertical="center" indent="1"/>
    </xf>
    <xf numFmtId="0" fontId="90" fillId="0" borderId="119" xfId="0" applyFont="1" applyBorder="1" applyAlignment="1">
      <alignment horizontal="left" vertical="center" indent="1"/>
    </xf>
    <xf numFmtId="0" fontId="15" fillId="2" borderId="139" xfId="0" applyFont="1" applyFill="1" applyBorder="1" applyAlignment="1">
      <alignment horizontal="center" vertical="center" wrapText="1" shrinkToFit="1"/>
    </xf>
    <xf numFmtId="0" fontId="15" fillId="2" borderId="140" xfId="0" applyFont="1" applyFill="1" applyBorder="1" applyAlignment="1">
      <alignment horizontal="center" vertical="center" wrapText="1" shrinkToFit="1"/>
    </xf>
    <xf numFmtId="0" fontId="15" fillId="2" borderId="141" xfId="0" applyFont="1" applyFill="1" applyBorder="1" applyAlignment="1">
      <alignment horizontal="center" vertical="center" wrapText="1" shrinkToFit="1"/>
    </xf>
    <xf numFmtId="0" fontId="131" fillId="6" borderId="0" xfId="0" applyFont="1" applyFill="1" applyAlignment="1">
      <alignment horizontal="left" vertical="center" shrinkToFit="1"/>
    </xf>
    <xf numFmtId="270" fontId="7" fillId="11" borderId="74" xfId="0" applyNumberFormat="1" applyFont="1" applyFill="1" applyBorder="1" applyAlignment="1">
      <alignment horizontal="left" vertical="center" indent="1"/>
    </xf>
    <xf numFmtId="270" fontId="7" fillId="11" borderId="30" xfId="0" applyNumberFormat="1" applyFont="1" applyFill="1" applyBorder="1" applyAlignment="1">
      <alignment horizontal="left" vertical="center" indent="1"/>
    </xf>
    <xf numFmtId="183" fontId="7" fillId="11" borderId="32" xfId="0" applyNumberFormat="1" applyFont="1" applyFill="1" applyBorder="1" applyAlignment="1">
      <alignment horizontal="center" vertical="center" wrapText="1"/>
    </xf>
    <xf numFmtId="183" fontId="7" fillId="11" borderId="64" xfId="0" applyNumberFormat="1" applyFont="1" applyFill="1" applyBorder="1" applyAlignment="1">
      <alignment horizontal="center" vertical="center" wrapText="1"/>
    </xf>
    <xf numFmtId="183" fontId="7" fillId="11" borderId="31" xfId="0" applyNumberFormat="1" applyFont="1" applyFill="1" applyBorder="1" applyAlignment="1">
      <alignment horizontal="center" vertical="center" wrapText="1"/>
    </xf>
    <xf numFmtId="0" fontId="44" fillId="3" borderId="0" xfId="2" quotePrefix="1" applyFont="1" applyFill="1" applyBorder="1" applyAlignment="1" applyProtection="1">
      <alignment horizontal="center" vertical="center" shrinkToFit="1"/>
    </xf>
    <xf numFmtId="0" fontId="44" fillId="0" borderId="0" xfId="2" applyFont="1" applyAlignment="1" applyProtection="1">
      <alignment horizontal="center" vertical="center" shrinkToFit="1"/>
    </xf>
    <xf numFmtId="183" fontId="7" fillId="11" borderId="26" xfId="0" applyNumberFormat="1" applyFont="1" applyFill="1" applyBorder="1" applyAlignment="1">
      <alignment horizontal="center" vertical="center"/>
    </xf>
    <xf numFmtId="183" fontId="7" fillId="11" borderId="30" xfId="0" applyNumberFormat="1" applyFont="1" applyFill="1" applyBorder="1" applyAlignment="1">
      <alignment horizontal="center" vertical="center"/>
    </xf>
    <xf numFmtId="183" fontId="7" fillId="11" borderId="27" xfId="0" applyNumberFormat="1" applyFont="1" applyFill="1" applyBorder="1" applyAlignment="1">
      <alignment horizontal="center" vertical="center"/>
    </xf>
    <xf numFmtId="0" fontId="127" fillId="11" borderId="120" xfId="2" applyFont="1" applyFill="1" applyBorder="1" applyAlignment="1" applyProtection="1">
      <alignment horizontal="center" vertical="center" shrinkToFit="1"/>
      <protection locked="0"/>
    </xf>
    <xf numFmtId="0" fontId="127" fillId="11" borderId="73" xfId="2" applyFont="1" applyFill="1" applyBorder="1" applyAlignment="1" applyProtection="1">
      <alignment horizontal="center" vertical="center" shrinkToFit="1"/>
      <protection locked="0"/>
    </xf>
    <xf numFmtId="0" fontId="127" fillId="11" borderId="130" xfId="2" applyFont="1" applyFill="1" applyBorder="1" applyAlignment="1" applyProtection="1">
      <alignment horizontal="center" vertical="center" shrinkToFit="1"/>
      <protection locked="0"/>
    </xf>
    <xf numFmtId="2" fontId="73" fillId="6" borderId="0" xfId="0" applyNumberFormat="1" applyFont="1" applyFill="1" applyAlignment="1">
      <alignment horizontal="center" vertical="center" shrinkToFit="1"/>
    </xf>
    <xf numFmtId="2" fontId="10" fillId="0" borderId="0" xfId="0" applyNumberFormat="1" applyFont="1" applyAlignment="1">
      <alignment horizontal="center" vertical="center" shrinkToFit="1"/>
    </xf>
    <xf numFmtId="193" fontId="131" fillId="6" borderId="0" xfId="0" applyNumberFormat="1" applyFont="1" applyFill="1" applyAlignment="1">
      <alignment horizontal="right" vertical="center" wrapText="1" shrinkToFit="1"/>
    </xf>
    <xf numFmtId="0" fontId="54" fillId="6" borderId="0" xfId="0" applyFont="1" applyFill="1" applyAlignment="1">
      <alignment horizontal="right" vertical="center" wrapText="1" shrinkToFit="1"/>
    </xf>
    <xf numFmtId="0" fontId="7" fillId="6" borderId="0" xfId="0" applyFont="1" applyFill="1" applyAlignment="1">
      <alignment horizontal="center" vertical="center"/>
    </xf>
    <xf numFmtId="0" fontId="0" fillId="0" borderId="0" xfId="0" applyAlignment="1">
      <alignment horizontal="center"/>
    </xf>
    <xf numFmtId="183" fontId="92" fillId="2" borderId="24" xfId="2" applyNumberFormat="1" applyFont="1" applyFill="1" applyBorder="1" applyAlignment="1" applyProtection="1">
      <alignment horizontal="center" vertical="center" shrinkToFit="1"/>
    </xf>
    <xf numFmtId="0" fontId="0" fillId="0" borderId="21" xfId="0" applyBorder="1" applyAlignment="1">
      <alignment horizontal="center" vertical="center" shrinkToFit="1"/>
    </xf>
    <xf numFmtId="183" fontId="92" fillId="2" borderId="20" xfId="2" applyNumberFormat="1" applyFont="1" applyFill="1" applyBorder="1" applyAlignment="1" applyProtection="1">
      <alignment horizontal="center" vertical="center" shrinkToFit="1"/>
    </xf>
    <xf numFmtId="0" fontId="0" fillId="0" borderId="15" xfId="0" applyBorder="1" applyAlignment="1">
      <alignment horizontal="center" vertical="center" shrinkToFit="1"/>
    </xf>
    <xf numFmtId="183" fontId="122" fillId="2" borderId="180" xfId="2" quotePrefix="1" applyNumberFormat="1" applyFont="1" applyFill="1" applyBorder="1" applyAlignment="1" applyProtection="1">
      <alignment horizontal="center" vertical="center"/>
    </xf>
    <xf numFmtId="0" fontId="0" fillId="0" borderId="105" xfId="0" applyBorder="1" applyAlignment="1">
      <alignment horizontal="center" vertical="center"/>
    </xf>
    <xf numFmtId="183" fontId="122" fillId="2" borderId="20" xfId="2" applyNumberFormat="1" applyFont="1" applyFill="1" applyBorder="1" applyAlignment="1" applyProtection="1">
      <alignment horizontal="center" vertical="center" shrinkToFit="1"/>
    </xf>
    <xf numFmtId="183" fontId="92" fillId="2" borderId="181" xfId="0" applyNumberFormat="1" applyFont="1" applyFill="1" applyBorder="1" applyAlignment="1">
      <alignment horizontal="center" vertical="center"/>
    </xf>
    <xf numFmtId="0" fontId="0" fillId="0" borderId="27" xfId="0" applyBorder="1" applyAlignment="1">
      <alignment horizontal="center" vertical="center"/>
    </xf>
    <xf numFmtId="0" fontId="92" fillId="2" borderId="177" xfId="0" applyFont="1" applyFill="1" applyBorder="1" applyAlignment="1">
      <alignment horizontal="center" vertical="center" wrapText="1"/>
    </xf>
    <xf numFmtId="0" fontId="0" fillId="0" borderId="130" xfId="0" applyBorder="1" applyAlignment="1">
      <alignment horizontal="center" vertical="center" wrapText="1"/>
    </xf>
    <xf numFmtId="0" fontId="0" fillId="0" borderId="20" xfId="0" applyBorder="1" applyAlignment="1">
      <alignment horizontal="center" vertical="center" wrapText="1"/>
    </xf>
    <xf numFmtId="0" fontId="0" fillId="0" borderId="22" xfId="0" applyBorder="1" applyAlignment="1">
      <alignment horizontal="center" vertical="center" wrapText="1"/>
    </xf>
    <xf numFmtId="0" fontId="0" fillId="0" borderId="94" xfId="0" applyBorder="1" applyAlignment="1">
      <alignment horizontal="center" vertical="center" wrapText="1"/>
    </xf>
    <xf numFmtId="248" fontId="73" fillId="6" borderId="0" xfId="0" applyNumberFormat="1" applyFont="1" applyFill="1" applyAlignment="1">
      <alignment horizontal="center" vertical="center" shrinkToFit="1"/>
    </xf>
    <xf numFmtId="248" fontId="10" fillId="0" borderId="0" xfId="0" applyNumberFormat="1" applyFont="1" applyAlignment="1">
      <alignment horizontal="center" vertical="center" shrinkToFit="1"/>
    </xf>
    <xf numFmtId="0" fontId="52" fillId="0" borderId="0" xfId="0" applyFont="1" applyAlignment="1">
      <alignment horizontal="center" vertical="center"/>
    </xf>
    <xf numFmtId="239" fontId="52" fillId="0" borderId="0" xfId="0" applyNumberFormat="1" applyFont="1" applyAlignment="1">
      <alignment horizontal="center" vertical="center"/>
    </xf>
    <xf numFmtId="303" fontId="7" fillId="14" borderId="128" xfId="0" applyNumberFormat="1" applyFont="1" applyFill="1" applyBorder="1" applyAlignment="1">
      <alignment horizontal="center" vertical="center"/>
    </xf>
    <xf numFmtId="303" fontId="6" fillId="14" borderId="129" xfId="0" applyNumberFormat="1" applyFont="1" applyFill="1" applyBorder="1" applyAlignment="1">
      <alignment horizontal="center" vertical="center"/>
    </xf>
    <xf numFmtId="286" fontId="9" fillId="10" borderId="151" xfId="0" applyNumberFormat="1" applyFont="1" applyFill="1" applyBorder="1" applyAlignment="1">
      <alignment horizontal="center" vertical="center"/>
    </xf>
    <xf numFmtId="286" fontId="10" fillId="0" borderId="152" xfId="0" applyNumberFormat="1" applyFont="1" applyBorder="1" applyAlignment="1">
      <alignment horizontal="center" vertical="center"/>
    </xf>
    <xf numFmtId="284" fontId="43" fillId="11" borderId="70" xfId="0" quotePrefix="1" applyNumberFormat="1" applyFont="1" applyFill="1" applyBorder="1" applyAlignment="1">
      <alignment horizontal="center" vertical="center"/>
    </xf>
    <xf numFmtId="0" fontId="0" fillId="11" borderId="17" xfId="0" applyFill="1" applyBorder="1" applyAlignment="1">
      <alignment horizontal="center" vertical="center"/>
    </xf>
    <xf numFmtId="303" fontId="7" fillId="14" borderId="42" xfId="0" applyNumberFormat="1" applyFont="1" applyFill="1" applyBorder="1" applyAlignment="1">
      <alignment horizontal="center" vertical="center" shrinkToFit="1"/>
    </xf>
    <xf numFmtId="303" fontId="6" fillId="14" borderId="46" xfId="0" applyNumberFormat="1" applyFont="1" applyFill="1" applyBorder="1" applyAlignment="1">
      <alignment horizontal="center" vertical="center"/>
    </xf>
    <xf numFmtId="304" fontId="7" fillId="14" borderId="128" xfId="0" applyNumberFormat="1" applyFont="1" applyFill="1" applyBorder="1" applyAlignment="1">
      <alignment horizontal="center" vertical="center" shrinkToFit="1"/>
    </xf>
    <xf numFmtId="304" fontId="6" fillId="14" borderId="128" xfId="0" applyNumberFormat="1" applyFont="1" applyFill="1" applyBorder="1" applyAlignment="1">
      <alignment horizontal="center" vertical="center" shrinkToFit="1"/>
    </xf>
    <xf numFmtId="0" fontId="57" fillId="3" borderId="0" xfId="2" applyFont="1" applyFill="1" applyBorder="1" applyAlignment="1" applyProtection="1">
      <alignment horizontal="center"/>
    </xf>
    <xf numFmtId="0" fontId="20" fillId="0" borderId="0" xfId="0" applyFont="1" applyAlignment="1">
      <alignment horizontal="center"/>
    </xf>
    <xf numFmtId="289" fontId="7" fillId="14" borderId="157" xfId="0" applyNumberFormat="1" applyFont="1" applyFill="1" applyBorder="1" applyAlignment="1">
      <alignment horizontal="center" vertical="center" shrinkToFit="1"/>
    </xf>
    <xf numFmtId="289" fontId="6" fillId="14" borderId="152" xfId="0" applyNumberFormat="1" applyFont="1" applyFill="1" applyBorder="1" applyAlignment="1">
      <alignment vertical="center"/>
    </xf>
    <xf numFmtId="49" fontId="180" fillId="10" borderId="162" xfId="0" applyNumberFormat="1" applyFont="1" applyFill="1" applyBorder="1" applyAlignment="1">
      <alignment horizontal="center" vertical="center" shrinkToFit="1"/>
    </xf>
    <xf numFmtId="0" fontId="180" fillId="10" borderId="163" xfId="0" applyFont="1" applyFill="1" applyBorder="1" applyAlignment="1">
      <alignment horizontal="center" vertical="center" shrinkToFit="1"/>
    </xf>
    <xf numFmtId="0" fontId="91" fillId="2" borderId="67" xfId="0" applyFont="1" applyFill="1" applyBorder="1" applyAlignment="1">
      <alignment horizontal="left" vertical="center" indent="1" shrinkToFit="1"/>
    </xf>
    <xf numFmtId="0" fontId="0" fillId="0" borderId="158" xfId="0" applyBorder="1" applyAlignment="1">
      <alignment horizontal="left" vertical="center" indent="1" shrinkToFit="1"/>
    </xf>
    <xf numFmtId="251" fontId="7" fillId="14" borderId="167" xfId="0" applyNumberFormat="1" applyFont="1" applyFill="1" applyBorder="1" applyAlignment="1">
      <alignment horizontal="center" vertical="center" shrinkToFit="1"/>
    </xf>
    <xf numFmtId="251" fontId="6" fillId="14" borderId="165" xfId="0" applyNumberFormat="1" applyFont="1" applyFill="1" applyBorder="1" applyAlignment="1">
      <alignment vertical="center"/>
    </xf>
    <xf numFmtId="0" fontId="57" fillId="3" borderId="73" xfId="2" applyFont="1" applyFill="1" applyBorder="1" applyAlignment="1" applyProtection="1">
      <alignment horizontal="center"/>
    </xf>
    <xf numFmtId="0" fontId="20" fillId="0" borderId="73" xfId="0" applyFont="1" applyBorder="1" applyAlignment="1">
      <alignment horizontal="center"/>
    </xf>
    <xf numFmtId="0" fontId="74" fillId="0" borderId="0" xfId="0" applyFont="1" applyAlignment="1">
      <alignment horizontal="left" vertical="center"/>
    </xf>
    <xf numFmtId="0" fontId="116" fillId="0" borderId="0" xfId="0" applyFont="1" applyAlignment="1">
      <alignment horizontal="left" vertical="center"/>
    </xf>
    <xf numFmtId="0" fontId="50" fillId="0" borderId="0" xfId="0" applyFont="1" applyAlignment="1">
      <alignment horizontal="center" vertical="center"/>
    </xf>
    <xf numFmtId="0" fontId="92" fillId="2" borderId="26" xfId="0" applyFont="1" applyFill="1" applyBorder="1" applyAlignment="1">
      <alignment horizontal="center" vertical="center" shrinkToFit="1"/>
    </xf>
    <xf numFmtId="0" fontId="0" fillId="0" borderId="30" xfId="0" applyBorder="1" applyAlignment="1">
      <alignment horizontal="center" vertical="center" shrinkToFit="1"/>
    </xf>
    <xf numFmtId="0" fontId="0" fillId="0" borderId="0" xfId="0" applyAlignment="1">
      <alignment horizontal="center" vertical="center" shrinkToFit="1"/>
    </xf>
    <xf numFmtId="275" fontId="7" fillId="0" borderId="91" xfId="0" applyNumberFormat="1" applyFont="1" applyFill="1" applyBorder="1" applyAlignment="1">
      <alignment horizontal="center" vertical="center" shrinkToFit="1"/>
    </xf>
    <xf numFmtId="0" fontId="7" fillId="0" borderId="91" xfId="0" applyFont="1" applyFill="1" applyBorder="1" applyAlignment="1">
      <alignment horizontal="center" vertical="center"/>
    </xf>
    <xf numFmtId="0" fontId="122" fillId="7" borderId="0" xfId="0" applyFont="1" applyFill="1" applyAlignment="1">
      <alignment horizontal="center" shrinkToFit="1"/>
    </xf>
    <xf numFmtId="0" fontId="6" fillId="0" borderId="0" xfId="0" applyFont="1" applyAlignment="1">
      <alignment horizontal="center" shrinkToFit="1"/>
    </xf>
    <xf numFmtId="0" fontId="0" fillId="0" borderId="95" xfId="0" applyBorder="1" applyAlignment="1">
      <alignment horizontal="justify" vertical="center" wrapText="1"/>
    </xf>
    <xf numFmtId="0" fontId="0" fillId="0" borderId="11" xfId="0" applyBorder="1" applyAlignment="1">
      <alignment horizontal="justify" vertical="center" wrapText="1"/>
    </xf>
    <xf numFmtId="0" fontId="0" fillId="0" borderId="94" xfId="0" applyBorder="1" applyAlignment="1">
      <alignment horizontal="justify" vertical="center" wrapText="1"/>
    </xf>
    <xf numFmtId="0" fontId="92" fillId="9" borderId="131" xfId="0" quotePrefix="1" applyFont="1" applyFill="1" applyBorder="1" applyAlignment="1">
      <alignment horizontal="center" vertical="center" shrinkToFit="1"/>
    </xf>
    <xf numFmtId="0" fontId="92" fillId="9" borderId="93" xfId="0" applyFont="1" applyFill="1" applyBorder="1" applyAlignment="1">
      <alignment horizontal="center" vertical="center" shrinkToFit="1"/>
    </xf>
    <xf numFmtId="0" fontId="92" fillId="9" borderId="101" xfId="0" applyFont="1" applyFill="1" applyBorder="1" applyAlignment="1">
      <alignment horizontal="center" vertical="center" shrinkToFit="1"/>
    </xf>
    <xf numFmtId="185" fontId="70" fillId="3" borderId="82" xfId="0" applyNumberFormat="1" applyFont="1" applyFill="1" applyBorder="1" applyAlignment="1">
      <alignment horizontal="center" vertical="center"/>
    </xf>
    <xf numFmtId="185" fontId="70" fillId="0" borderId="83" xfId="0" applyNumberFormat="1" applyFont="1" applyBorder="1" applyAlignment="1">
      <alignment horizontal="center" vertical="center"/>
    </xf>
    <xf numFmtId="183" fontId="70" fillId="3" borderId="78" xfId="0" applyNumberFormat="1" applyFont="1" applyFill="1" applyBorder="1" applyAlignment="1">
      <alignment horizontal="center" vertical="center"/>
    </xf>
    <xf numFmtId="183" fontId="70" fillId="0" borderId="79" xfId="0" applyNumberFormat="1" applyFont="1" applyBorder="1" applyAlignment="1">
      <alignment horizontal="center" vertical="center"/>
    </xf>
    <xf numFmtId="183" fontId="70" fillId="3" borderId="80" xfId="0" applyNumberFormat="1" applyFont="1" applyFill="1" applyBorder="1" applyAlignment="1">
      <alignment horizontal="center" vertical="center"/>
    </xf>
    <xf numFmtId="183" fontId="70" fillId="0" borderId="81" xfId="0" applyNumberFormat="1" applyFont="1" applyBorder="1" applyAlignment="1">
      <alignment horizontal="center" vertical="center"/>
    </xf>
    <xf numFmtId="271" fontId="7" fillId="11" borderId="100" xfId="0" applyNumberFormat="1" applyFont="1" applyFill="1" applyBorder="1" applyAlignment="1">
      <alignment horizontal="left" vertical="center" indent="1"/>
    </xf>
    <xf numFmtId="271" fontId="7" fillId="11" borderId="93" xfId="0" applyNumberFormat="1" applyFont="1" applyFill="1" applyBorder="1" applyAlignment="1">
      <alignment horizontal="left" vertical="center" indent="1"/>
    </xf>
    <xf numFmtId="271" fontId="7" fillId="11" borderId="101" xfId="0" applyNumberFormat="1" applyFont="1" applyFill="1" applyBorder="1" applyAlignment="1">
      <alignment horizontal="left" vertical="center" indent="1"/>
    </xf>
    <xf numFmtId="0" fontId="188" fillId="9" borderId="147" xfId="0" applyFont="1" applyFill="1" applyBorder="1" applyAlignment="1" applyProtection="1">
      <alignment horizontal="center" vertical="center"/>
      <protection locked="0"/>
    </xf>
    <xf numFmtId="0" fontId="188" fillId="9" borderId="115" xfId="0" applyFont="1" applyFill="1" applyBorder="1" applyAlignment="1">
      <alignment horizontal="center" vertical="center"/>
    </xf>
    <xf numFmtId="0" fontId="181" fillId="11" borderId="118" xfId="0" applyFont="1" applyFill="1" applyBorder="1" applyAlignment="1" applyProtection="1">
      <alignment horizontal="center" vertical="center" shrinkToFit="1"/>
      <protection locked="0"/>
    </xf>
    <xf numFmtId="0" fontId="181" fillId="11" borderId="42" xfId="0" applyFont="1" applyFill="1" applyBorder="1" applyAlignment="1">
      <alignment horizontal="center" vertical="center" shrinkToFit="1"/>
    </xf>
    <xf numFmtId="0" fontId="181" fillId="11" borderId="46" xfId="0" applyFont="1" applyFill="1" applyBorder="1" applyAlignment="1">
      <alignment horizontal="center" vertical="center" shrinkToFit="1"/>
    </xf>
    <xf numFmtId="294" fontId="7" fillId="14" borderId="128" xfId="0" applyNumberFormat="1" applyFont="1" applyFill="1" applyBorder="1" applyAlignment="1">
      <alignment horizontal="center" vertical="center" shrinkToFit="1"/>
    </xf>
    <xf numFmtId="294" fontId="6" fillId="14" borderId="128" xfId="0" applyNumberFormat="1" applyFont="1" applyFill="1" applyBorder="1" applyAlignment="1">
      <alignment horizontal="center" vertical="center"/>
    </xf>
    <xf numFmtId="0" fontId="87" fillId="9" borderId="70" xfId="0" quotePrefix="1" applyFont="1" applyFill="1" applyBorder="1" applyAlignment="1">
      <alignment horizontal="center" vertical="center" shrinkToFit="1"/>
    </xf>
    <xf numFmtId="0" fontId="0" fillId="0" borderId="17" xfId="0" applyBorder="1" applyAlignment="1">
      <alignment vertical="center"/>
    </xf>
    <xf numFmtId="239" fontId="87" fillId="9" borderId="70" xfId="0" applyNumberFormat="1" applyFont="1" applyFill="1" applyBorder="1" applyAlignment="1" applyProtection="1">
      <alignment horizontal="center" vertical="center" shrinkToFit="1"/>
      <protection locked="0"/>
    </xf>
    <xf numFmtId="0" fontId="0" fillId="0" borderId="171" xfId="0" applyBorder="1" applyAlignment="1">
      <alignment vertical="center"/>
    </xf>
    <xf numFmtId="0" fontId="121" fillId="6" borderId="0" xfId="0" applyFont="1" applyFill="1" applyAlignment="1">
      <alignment horizontal="center" vertical="center"/>
    </xf>
    <xf numFmtId="279" fontId="7" fillId="11" borderId="159" xfId="0" applyNumberFormat="1" applyFont="1" applyFill="1" applyBorder="1" applyAlignment="1">
      <alignment horizontal="center" vertical="center" shrinkToFit="1"/>
    </xf>
    <xf numFmtId="279" fontId="6" fillId="11" borderId="128" xfId="0" applyNumberFormat="1" applyFont="1" applyFill="1" applyBorder="1" applyAlignment="1">
      <alignment horizontal="center" vertical="center" shrinkToFit="1"/>
    </xf>
    <xf numFmtId="279" fontId="6" fillId="11" borderId="71" xfId="0" applyNumberFormat="1" applyFont="1" applyFill="1" applyBorder="1" applyAlignment="1">
      <alignment horizontal="center" vertical="center" shrinkToFit="1"/>
    </xf>
    <xf numFmtId="208" fontId="46" fillId="0" borderId="154" xfId="0" applyNumberFormat="1" applyFont="1" applyBorder="1" applyAlignment="1" applyProtection="1">
      <alignment horizontal="right" vertical="center" indent="2" shrinkToFit="1"/>
      <protection locked="0"/>
    </xf>
    <xf numFmtId="0" fontId="98" fillId="0" borderId="155" xfId="0" applyFont="1" applyBorder="1" applyAlignment="1" applyProtection="1">
      <alignment horizontal="right" vertical="center" indent="2"/>
      <protection locked="0"/>
    </xf>
    <xf numFmtId="0" fontId="98" fillId="0" borderId="156" xfId="0" applyFont="1" applyBorder="1" applyAlignment="1" applyProtection="1">
      <alignment horizontal="right" vertical="center" indent="2"/>
      <protection locked="0"/>
    </xf>
    <xf numFmtId="178" fontId="7" fillId="11" borderId="67" xfId="0" applyNumberFormat="1" applyFont="1" applyFill="1" applyBorder="1" applyAlignment="1">
      <alignment horizontal="center" vertical="center"/>
    </xf>
    <xf numFmtId="178" fontId="6" fillId="11" borderId="66" xfId="0" applyNumberFormat="1" applyFont="1" applyFill="1" applyBorder="1" applyAlignment="1">
      <alignment horizontal="center" vertical="center"/>
    </xf>
    <xf numFmtId="178" fontId="6" fillId="11" borderId="69" xfId="0" applyNumberFormat="1" applyFont="1" applyFill="1" applyBorder="1" applyAlignment="1">
      <alignment horizontal="center" vertical="center"/>
    </xf>
    <xf numFmtId="0" fontId="121" fillId="7" borderId="23" xfId="0" applyFont="1" applyFill="1" applyBorder="1" applyAlignment="1">
      <alignment horizontal="center" vertical="center"/>
    </xf>
    <xf numFmtId="206" fontId="7" fillId="11" borderId="67" xfId="0" applyNumberFormat="1" applyFont="1" applyFill="1" applyBorder="1" applyAlignment="1">
      <alignment horizontal="center" vertical="center" shrinkToFit="1"/>
    </xf>
    <xf numFmtId="0" fontId="6" fillId="11" borderId="66" xfId="0" applyFont="1" applyFill="1" applyBorder="1" applyAlignment="1">
      <alignment horizontal="center" vertical="center" shrinkToFit="1"/>
    </xf>
    <xf numFmtId="0" fontId="6" fillId="11" borderId="69" xfId="0" applyFont="1" applyFill="1" applyBorder="1" applyAlignment="1">
      <alignment horizontal="center" vertical="center" shrinkToFit="1"/>
    </xf>
    <xf numFmtId="196" fontId="7" fillId="0" borderId="67" xfId="3" applyNumberFormat="1" applyFont="1" applyBorder="1" applyAlignment="1" applyProtection="1">
      <alignment horizontal="center" vertical="center" shrinkToFit="1"/>
    </xf>
    <xf numFmtId="196" fontId="6" fillId="0" borderId="66" xfId="0" applyNumberFormat="1" applyFont="1" applyBorder="1" applyAlignment="1">
      <alignment horizontal="center" vertical="center" shrinkToFit="1"/>
    </xf>
    <xf numFmtId="196" fontId="6" fillId="0" borderId="69" xfId="0" applyNumberFormat="1" applyFont="1" applyBorder="1" applyAlignment="1">
      <alignment horizontal="center" vertical="center" shrinkToFit="1"/>
    </xf>
    <xf numFmtId="0" fontId="95" fillId="9" borderId="67" xfId="0" applyFont="1" applyFill="1" applyBorder="1" applyAlignment="1">
      <alignment horizontal="center" vertical="center" shrinkToFit="1"/>
    </xf>
    <xf numFmtId="0" fontId="55" fillId="6" borderId="72" xfId="0" applyFont="1" applyFill="1" applyBorder="1" applyAlignment="1">
      <alignment horizontal="center" vertical="center"/>
    </xf>
    <xf numFmtId="0" fontId="0" fillId="0" borderId="73" xfId="0" applyBorder="1" applyAlignment="1">
      <alignment horizontal="center" vertical="center"/>
    </xf>
    <xf numFmtId="0" fontId="0" fillId="0" borderId="86" xfId="0" applyBorder="1" applyAlignment="1">
      <alignment horizontal="center" vertical="center"/>
    </xf>
    <xf numFmtId="0" fontId="0" fillId="0" borderId="43" xfId="0" applyBorder="1" applyAlignment="1">
      <alignment horizontal="center" vertical="center"/>
    </xf>
    <xf numFmtId="0" fontId="0" fillId="0" borderId="68" xfId="0" applyBorder="1" applyAlignment="1">
      <alignment horizontal="center" vertical="center"/>
    </xf>
    <xf numFmtId="0" fontId="0" fillId="0" borderId="143" xfId="0" applyBorder="1" applyAlignment="1">
      <alignment horizontal="center" vertical="center"/>
    </xf>
    <xf numFmtId="0" fontId="87" fillId="9" borderId="70" xfId="0" applyFont="1" applyFill="1" applyBorder="1" applyAlignment="1" applyProtection="1">
      <alignment horizontal="center" vertical="center" shrinkToFit="1"/>
      <protection locked="0"/>
    </xf>
    <xf numFmtId="0" fontId="92" fillId="2" borderId="139" xfId="0" applyFont="1" applyFill="1" applyBorder="1" applyAlignment="1">
      <alignment horizontal="center" vertical="center"/>
    </xf>
    <xf numFmtId="0" fontId="92" fillId="2" borderId="141" xfId="0" applyFont="1" applyFill="1" applyBorder="1" applyAlignment="1">
      <alignment horizontal="center" vertical="center"/>
    </xf>
    <xf numFmtId="0" fontId="63" fillId="3" borderId="11" xfId="0" applyFont="1" applyFill="1" applyBorder="1" applyAlignment="1">
      <alignment horizontal="center" vertical="center"/>
    </xf>
    <xf numFmtId="0" fontId="138" fillId="6" borderId="11" xfId="2" applyFont="1" applyFill="1" applyBorder="1" applyAlignment="1" applyProtection="1">
      <alignment horizontal="center" vertical="center"/>
    </xf>
    <xf numFmtId="0" fontId="20" fillId="0" borderId="11" xfId="0" applyFont="1" applyBorder="1" applyAlignment="1">
      <alignment horizontal="center" vertical="center"/>
    </xf>
    <xf numFmtId="232" fontId="101" fillId="0" borderId="144" xfId="0" applyNumberFormat="1" applyFont="1" applyBorder="1" applyAlignment="1" applyProtection="1">
      <alignment horizontal="center" vertical="center" shrinkToFit="1"/>
      <protection locked="0"/>
    </xf>
    <xf numFmtId="232" fontId="101" fillId="0" borderId="148" xfId="0" applyNumberFormat="1" applyFont="1" applyBorder="1" applyAlignment="1" applyProtection="1">
      <alignment horizontal="center" vertical="center" shrinkToFit="1"/>
      <protection locked="0"/>
    </xf>
    <xf numFmtId="311" fontId="55" fillId="6" borderId="134" xfId="0" applyNumberFormat="1" applyFont="1" applyFill="1" applyBorder="1" applyAlignment="1" applyProtection="1">
      <alignment horizontal="center" vertical="center"/>
      <protection locked="0"/>
    </xf>
    <xf numFmtId="311" fontId="20" fillId="0" borderId="135" xfId="0" applyNumberFormat="1" applyFont="1" applyBorder="1" applyAlignment="1">
      <alignment horizontal="center" vertical="center"/>
    </xf>
    <xf numFmtId="250" fontId="108" fillId="0" borderId="28" xfId="0" applyNumberFormat="1" applyFont="1" applyBorder="1" applyAlignment="1" applyProtection="1">
      <alignment horizontal="center" vertical="center" shrinkToFit="1"/>
      <protection locked="0"/>
    </xf>
    <xf numFmtId="250" fontId="117" fillId="0" borderId="29" xfId="0" applyNumberFormat="1" applyFont="1" applyBorder="1" applyProtection="1">
      <protection locked="0"/>
    </xf>
    <xf numFmtId="0" fontId="104" fillId="3" borderId="20" xfId="0" applyFont="1" applyFill="1" applyBorder="1" applyAlignment="1">
      <alignment vertical="center" wrapText="1"/>
    </xf>
    <xf numFmtId="0" fontId="104" fillId="0" borderId="0" xfId="0" applyFont="1" applyAlignment="1">
      <alignment vertical="center"/>
    </xf>
    <xf numFmtId="0" fontId="104" fillId="0" borderId="15" xfId="0" applyFont="1" applyBorder="1" applyAlignment="1">
      <alignment vertical="center"/>
    </xf>
    <xf numFmtId="213" fontId="106" fillId="0" borderId="28" xfId="0" applyNumberFormat="1" applyFont="1" applyBorder="1" applyAlignment="1" applyProtection="1">
      <alignment horizontal="center" vertical="center" shrinkToFit="1"/>
      <protection locked="0"/>
    </xf>
    <xf numFmtId="0" fontId="9" fillId="0" borderId="29" xfId="0" applyFont="1" applyBorder="1" applyAlignment="1" applyProtection="1">
      <alignment horizontal="center" vertical="center" shrinkToFit="1"/>
      <protection locked="0"/>
    </xf>
    <xf numFmtId="213" fontId="106" fillId="0" borderId="28" xfId="0" applyNumberFormat="1" applyFont="1" applyBorder="1" applyAlignment="1">
      <alignment horizontal="center" vertical="center" shrinkToFit="1"/>
    </xf>
    <xf numFmtId="0" fontId="9" fillId="0" borderId="29" xfId="0" applyFont="1" applyBorder="1" applyAlignment="1">
      <alignment horizontal="center" vertical="center" shrinkToFit="1"/>
    </xf>
    <xf numFmtId="227" fontId="108" fillId="0" borderId="28" xfId="0" applyNumberFormat="1" applyFont="1" applyBorder="1" applyAlignment="1" applyProtection="1">
      <alignment horizontal="center" vertical="center" shrinkToFit="1"/>
      <protection locked="0"/>
    </xf>
    <xf numFmtId="227" fontId="108" fillId="0" borderId="29" xfId="0" applyNumberFormat="1" applyFont="1" applyBorder="1" applyAlignment="1" applyProtection="1">
      <alignment horizontal="center" vertical="center" shrinkToFit="1"/>
      <protection locked="0"/>
    </xf>
    <xf numFmtId="0" fontId="14" fillId="3" borderId="16" xfId="0" quotePrefix="1" applyFont="1" applyFill="1" applyBorder="1" applyAlignment="1">
      <alignment horizontal="left" vertical="center"/>
    </xf>
    <xf numFmtId="0" fontId="9" fillId="0" borderId="16" xfId="0" applyFont="1" applyBorder="1" applyAlignment="1">
      <alignment horizontal="left" vertical="center"/>
    </xf>
    <xf numFmtId="0" fontId="8" fillId="3" borderId="0" xfId="2" applyFont="1" applyFill="1" applyBorder="1" applyAlignment="1" applyProtection="1">
      <alignment horizontal="left" vertical="center" wrapText="1"/>
    </xf>
    <xf numFmtId="0" fontId="8" fillId="3" borderId="15" xfId="2" applyFont="1" applyFill="1" applyBorder="1" applyAlignment="1" applyProtection="1">
      <alignment horizontal="left" vertical="center" wrapText="1"/>
    </xf>
    <xf numFmtId="249" fontId="8" fillId="0" borderId="28" xfId="0" applyNumberFormat="1" applyFont="1" applyBorder="1" applyAlignment="1" applyProtection="1">
      <alignment horizontal="center" vertical="center" shrinkToFit="1"/>
      <protection locked="0"/>
    </xf>
    <xf numFmtId="249" fontId="10" fillId="0" borderId="29" xfId="0" applyNumberFormat="1" applyFont="1" applyBorder="1"/>
    <xf numFmtId="0" fontId="164" fillId="6" borderId="23" xfId="0" applyFont="1" applyFill="1" applyBorder="1" applyAlignment="1">
      <alignment horizontal="center" vertical="center"/>
    </xf>
    <xf numFmtId="0" fontId="164" fillId="0" borderId="23" xfId="0" applyFont="1" applyBorder="1" applyAlignment="1">
      <alignment horizontal="center" vertical="center"/>
    </xf>
    <xf numFmtId="0" fontId="9" fillId="3" borderId="20" xfId="0" quotePrefix="1" applyFont="1" applyFill="1" applyBorder="1" applyAlignment="1">
      <alignment horizontal="left" vertical="center" wrapText="1"/>
    </xf>
    <xf numFmtId="0" fontId="9" fillId="0" borderId="0" xfId="0" applyFont="1" applyAlignment="1">
      <alignment horizontal="justify" vertical="center" wrapText="1"/>
    </xf>
    <xf numFmtId="0" fontId="163" fillId="6" borderId="107" xfId="0" applyFont="1" applyFill="1" applyBorder="1" applyAlignment="1">
      <alignment horizontal="justify" vertical="center" wrapText="1"/>
    </xf>
    <xf numFmtId="0" fontId="4" fillId="0" borderId="3" xfId="0" applyFont="1" applyBorder="1" applyAlignment="1">
      <alignment horizontal="justify" vertical="center" wrapText="1"/>
    </xf>
    <xf numFmtId="214" fontId="55" fillId="3" borderId="3" xfId="0" applyNumberFormat="1" applyFont="1" applyFill="1" applyBorder="1" applyAlignment="1">
      <alignment horizontal="center" vertical="center" wrapText="1"/>
    </xf>
    <xf numFmtId="0" fontId="55" fillId="0" borderId="3" xfId="0" applyFont="1" applyBorder="1" applyAlignment="1">
      <alignment horizontal="center" vertical="center" wrapText="1"/>
    </xf>
    <xf numFmtId="0" fontId="7" fillId="6" borderId="91" xfId="0" applyFont="1" applyFill="1" applyBorder="1" applyAlignment="1">
      <alignment horizontal="center" vertical="center" shrinkToFit="1"/>
    </xf>
    <xf numFmtId="0" fontId="6" fillId="0" borderId="91" xfId="0" applyFont="1" applyBorder="1" applyAlignment="1">
      <alignment horizontal="center" vertical="center" shrinkToFit="1"/>
    </xf>
    <xf numFmtId="0" fontId="9" fillId="6" borderId="11" xfId="0" applyFont="1" applyFill="1" applyBorder="1" applyAlignment="1">
      <alignment horizontal="center" wrapText="1"/>
    </xf>
    <xf numFmtId="0" fontId="10" fillId="0" borderId="11" xfId="0" applyFont="1" applyBorder="1" applyAlignment="1">
      <alignment horizontal="center"/>
    </xf>
    <xf numFmtId="0" fontId="9" fillId="6" borderId="11" xfId="0" applyFont="1" applyFill="1" applyBorder="1" applyAlignment="1">
      <alignment horizontal="center" shrinkToFit="1"/>
    </xf>
    <xf numFmtId="0" fontId="10" fillId="0" borderId="11" xfId="0" applyFont="1" applyBorder="1"/>
    <xf numFmtId="0" fontId="10" fillId="0" borderId="94" xfId="0" applyFont="1" applyBorder="1"/>
    <xf numFmtId="0" fontId="8" fillId="7" borderId="104" xfId="2" applyNumberFormat="1" applyFont="1" applyFill="1" applyBorder="1" applyAlignment="1" applyProtection="1">
      <alignment horizontal="left" vertical="center" shrinkToFit="1"/>
    </xf>
    <xf numFmtId="0" fontId="10" fillId="0" borderId="104" xfId="0" applyFont="1" applyBorder="1" applyAlignment="1">
      <alignment horizontal="left" vertical="center" shrinkToFit="1"/>
    </xf>
    <xf numFmtId="0" fontId="10" fillId="0" borderId="105" xfId="0" applyFont="1" applyBorder="1" applyAlignment="1">
      <alignment horizontal="left" vertical="center" shrinkToFit="1"/>
    </xf>
    <xf numFmtId="0" fontId="9" fillId="3" borderId="104" xfId="0" quotePrefix="1" applyFont="1" applyFill="1" applyBorder="1" applyAlignment="1">
      <alignment horizontal="left" vertical="center" indent="1"/>
    </xf>
    <xf numFmtId="0" fontId="10" fillId="0" borderId="104" xfId="0" applyFont="1" applyBorder="1" applyAlignment="1">
      <alignment horizontal="left" vertical="center" indent="1"/>
    </xf>
    <xf numFmtId="213" fontId="110" fillId="0" borderId="28" xfId="0" applyNumberFormat="1" applyFont="1" applyBorder="1" applyAlignment="1" applyProtection="1">
      <alignment horizontal="center" vertical="center" shrinkToFit="1"/>
      <protection locked="0"/>
    </xf>
    <xf numFmtId="213" fontId="9" fillId="0" borderId="29" xfId="0" applyNumberFormat="1" applyFont="1" applyBorder="1" applyAlignment="1" applyProtection="1">
      <alignment vertical="center" shrinkToFit="1"/>
      <protection locked="0"/>
    </xf>
    <xf numFmtId="268" fontId="109" fillId="0" borderId="28" xfId="0" quotePrefix="1" applyNumberFormat="1" applyFont="1" applyBorder="1" applyAlignment="1" applyProtection="1">
      <alignment horizontal="center"/>
      <protection locked="0"/>
    </xf>
    <xf numFmtId="0" fontId="0" fillId="0" borderId="29" xfId="0" applyBorder="1" applyAlignment="1">
      <alignment horizontal="center"/>
    </xf>
    <xf numFmtId="0" fontId="55" fillId="6" borderId="3" xfId="0" applyFont="1" applyFill="1" applyBorder="1" applyAlignment="1">
      <alignment horizontal="center" vertical="center" shrinkToFit="1"/>
    </xf>
    <xf numFmtId="0" fontId="55" fillId="0" borderId="3" xfId="0" applyFont="1" applyBorder="1" applyAlignment="1">
      <alignment horizontal="center" vertical="center" shrinkToFit="1"/>
    </xf>
    <xf numFmtId="268" fontId="8" fillId="0" borderId="87" xfId="0" applyNumberFormat="1" applyFont="1" applyBorder="1" applyAlignment="1" applyProtection="1">
      <alignment horizontal="center" vertical="center" shrinkToFit="1"/>
      <protection locked="0"/>
    </xf>
    <xf numFmtId="268" fontId="10" fillId="0" borderId="29" xfId="0" applyNumberFormat="1" applyFont="1" applyBorder="1" applyProtection="1">
      <protection locked="0"/>
    </xf>
    <xf numFmtId="0" fontId="55" fillId="3" borderId="3" xfId="0" applyFont="1" applyFill="1" applyBorder="1" applyAlignment="1">
      <alignment horizontal="center" vertical="center" wrapText="1"/>
    </xf>
    <xf numFmtId="0" fontId="9" fillId="3" borderId="73" xfId="0" quotePrefix="1" applyFont="1" applyFill="1" applyBorder="1" applyAlignment="1">
      <alignment horizontal="center" vertical="center" shrinkToFit="1"/>
    </xf>
    <xf numFmtId="0" fontId="0" fillId="0" borderId="73" xfId="0" applyBorder="1" applyAlignment="1">
      <alignment horizontal="center" vertical="center" shrinkToFit="1"/>
    </xf>
    <xf numFmtId="260" fontId="109" fillId="0" borderId="87" xfId="0" applyNumberFormat="1" applyFont="1" applyBorder="1" applyAlignment="1" applyProtection="1">
      <alignment horizontal="center" vertical="center"/>
      <protection locked="0"/>
    </xf>
    <xf numFmtId="260" fontId="109" fillId="0" borderId="29" xfId="0" applyNumberFormat="1" applyFont="1" applyBorder="1" applyAlignment="1" applyProtection="1">
      <alignment horizontal="center" vertical="center"/>
      <protection locked="0"/>
    </xf>
    <xf numFmtId="260" fontId="9" fillId="6" borderId="24" xfId="0" applyNumberFormat="1" applyFont="1" applyFill="1" applyBorder="1" applyAlignment="1" applyProtection="1">
      <alignment horizontal="left" vertical="center" indent="1" shrinkToFit="1"/>
      <protection locked="0"/>
    </xf>
    <xf numFmtId="260" fontId="9" fillId="6" borderId="21" xfId="0" applyNumberFormat="1" applyFont="1" applyFill="1" applyBorder="1" applyAlignment="1" applyProtection="1">
      <alignment horizontal="left" vertical="center" indent="1" shrinkToFit="1"/>
      <protection locked="0"/>
    </xf>
    <xf numFmtId="260" fontId="9" fillId="6" borderId="92" xfId="0" applyNumberFormat="1" applyFont="1" applyFill="1" applyBorder="1" applyAlignment="1" applyProtection="1">
      <alignment horizontal="left" vertical="center" indent="1" shrinkToFit="1"/>
      <protection locked="0"/>
    </xf>
    <xf numFmtId="217" fontId="20" fillId="0" borderId="0" xfId="0" applyNumberFormat="1" applyFont="1" applyProtection="1">
      <protection locked="0"/>
    </xf>
    <xf numFmtId="0" fontId="42" fillId="0" borderId="21" xfId="0" applyFont="1" applyBorder="1" applyAlignment="1">
      <alignment horizontal="center" vertical="center"/>
    </xf>
    <xf numFmtId="0" fontId="0" fillId="0" borderId="21" xfId="0" applyBorder="1" applyAlignment="1">
      <alignment horizontal="center" vertical="center"/>
    </xf>
    <xf numFmtId="0" fontId="0" fillId="0" borderId="21" xfId="0" applyBorder="1" applyAlignment="1">
      <alignment vertical="center"/>
    </xf>
    <xf numFmtId="246" fontId="9" fillId="6" borderId="37" xfId="0" applyNumberFormat="1" applyFont="1" applyFill="1" applyBorder="1" applyAlignment="1" applyProtection="1">
      <alignment horizontal="center" vertical="center" shrinkToFit="1"/>
      <protection locked="0"/>
    </xf>
    <xf numFmtId="0" fontId="10" fillId="0" borderId="37" xfId="0" applyFont="1" applyBorder="1"/>
    <xf numFmtId="246" fontId="9" fillId="6" borderId="37" xfId="0" applyNumberFormat="1" applyFont="1" applyFill="1" applyBorder="1" applyAlignment="1" applyProtection="1">
      <alignment horizontal="center" vertical="center" wrapText="1" shrinkToFit="1"/>
      <protection locked="0"/>
    </xf>
    <xf numFmtId="0" fontId="10" fillId="0" borderId="37" xfId="0" applyFont="1" applyBorder="1" applyAlignment="1">
      <alignment vertical="center" wrapText="1"/>
    </xf>
    <xf numFmtId="0" fontId="10" fillId="0" borderId="109" xfId="0" applyFont="1" applyBorder="1" applyAlignment="1">
      <alignment vertical="center" wrapText="1"/>
    </xf>
    <xf numFmtId="314" fontId="8" fillId="0" borderId="87" xfId="0" applyNumberFormat="1" applyFont="1" applyBorder="1" applyAlignment="1" applyProtection="1">
      <alignment horizontal="center" vertical="center" shrinkToFit="1"/>
      <protection locked="0"/>
    </xf>
    <xf numFmtId="314" fontId="10" fillId="0" borderId="29" xfId="0" applyNumberFormat="1" applyFont="1" applyBorder="1" applyProtection="1">
      <protection locked="0"/>
    </xf>
    <xf numFmtId="254" fontId="164" fillId="6" borderId="23" xfId="0" applyNumberFormat="1" applyFont="1" applyFill="1" applyBorder="1" applyAlignment="1">
      <alignment horizontal="center" vertical="center" shrinkToFit="1"/>
    </xf>
    <xf numFmtId="0" fontId="165" fillId="0" borderId="23" xfId="0" applyFont="1" applyBorder="1" applyAlignment="1">
      <alignment horizontal="center" vertical="center"/>
    </xf>
    <xf numFmtId="213" fontId="163" fillId="3" borderId="107" xfId="0" quotePrefix="1" applyNumberFormat="1" applyFont="1" applyFill="1" applyBorder="1" applyAlignment="1">
      <alignment horizontal="left" vertical="center" shrinkToFit="1"/>
    </xf>
    <xf numFmtId="0" fontId="0" fillId="0" borderId="3" xfId="0" applyBorder="1" applyAlignment="1">
      <alignment horizontal="left" vertical="center" shrinkToFit="1"/>
    </xf>
    <xf numFmtId="0" fontId="9" fillId="0" borderId="106" xfId="0" applyFont="1" applyBorder="1" applyAlignment="1">
      <alignment horizontal="left" vertical="center"/>
    </xf>
    <xf numFmtId="0" fontId="163" fillId="3" borderId="107" xfId="0" quotePrefix="1" applyFont="1" applyFill="1" applyBorder="1" applyAlignment="1">
      <alignment horizontal="left" vertical="center"/>
    </xf>
    <xf numFmtId="0" fontId="163" fillId="3" borderId="3" xfId="0" quotePrefix="1" applyFont="1" applyFill="1" applyBorder="1" applyAlignment="1">
      <alignment horizontal="left" vertical="center"/>
    </xf>
    <xf numFmtId="0" fontId="163" fillId="3" borderId="108" xfId="0" quotePrefix="1" applyFont="1" applyFill="1" applyBorder="1" applyAlignment="1">
      <alignment horizontal="left" vertical="center"/>
    </xf>
    <xf numFmtId="245" fontId="106" fillId="0" borderId="28" xfId="0" applyNumberFormat="1" applyFont="1" applyBorder="1" applyAlignment="1" applyProtection="1">
      <alignment horizontal="center" vertical="center" shrinkToFit="1"/>
      <protection locked="0"/>
    </xf>
    <xf numFmtId="245" fontId="9" fillId="0" borderId="29" xfId="0" applyNumberFormat="1" applyFont="1" applyBorder="1" applyAlignment="1">
      <alignment horizontal="center" vertical="center" shrinkToFit="1"/>
    </xf>
    <xf numFmtId="0" fontId="104" fillId="3" borderId="20" xfId="0" applyFont="1" applyFill="1" applyBorder="1" applyAlignment="1">
      <alignment horizontal="right" vertical="center" wrapText="1" indent="3"/>
    </xf>
    <xf numFmtId="0" fontId="104" fillId="0" borderId="0" xfId="0" applyFont="1" applyAlignment="1">
      <alignment horizontal="right" vertical="center" indent="3"/>
    </xf>
    <xf numFmtId="0" fontId="104" fillId="0" borderId="15" xfId="0" applyFont="1" applyBorder="1" applyAlignment="1">
      <alignment horizontal="right" vertical="center" indent="3"/>
    </xf>
    <xf numFmtId="262" fontId="101" fillId="0" borderId="28" xfId="0" applyNumberFormat="1" applyFont="1" applyBorder="1" applyAlignment="1" applyProtection="1">
      <alignment horizontal="center" vertical="center"/>
      <protection locked="0"/>
    </xf>
    <xf numFmtId="262" fontId="101" fillId="0" borderId="29" xfId="0" applyNumberFormat="1" applyFont="1" applyBorder="1" applyAlignment="1" applyProtection="1">
      <alignment horizontal="center" vertical="center"/>
      <protection locked="0"/>
    </xf>
    <xf numFmtId="0" fontId="9" fillId="3" borderId="0" xfId="0" quotePrefix="1" applyFont="1" applyFill="1" applyAlignment="1">
      <alignment horizontal="justify" vertical="center" wrapText="1"/>
    </xf>
    <xf numFmtId="0" fontId="8" fillId="3" borderId="0" xfId="2" applyFont="1" applyFill="1" applyBorder="1" applyAlignment="1" applyProtection="1">
      <alignment vertical="center" shrinkToFit="1"/>
    </xf>
    <xf numFmtId="0" fontId="8" fillId="3" borderId="15" xfId="2" applyFont="1" applyFill="1" applyBorder="1" applyAlignment="1" applyProtection="1">
      <alignment vertical="center" shrinkToFit="1"/>
    </xf>
    <xf numFmtId="0" fontId="14" fillId="3" borderId="16" xfId="0" applyFont="1" applyFill="1" applyBorder="1" applyAlignment="1">
      <alignment horizontal="left" shrinkToFit="1"/>
    </xf>
    <xf numFmtId="0" fontId="1" fillId="0" borderId="8" xfId="0" applyFont="1" applyBorder="1" applyAlignment="1">
      <alignment horizontal="left" shrinkToFit="1"/>
    </xf>
    <xf numFmtId="0" fontId="30" fillId="3" borderId="21" xfId="0" quotePrefix="1" applyFont="1" applyFill="1" applyBorder="1" applyAlignment="1">
      <alignment horizontal="center" vertical="center" wrapText="1"/>
    </xf>
    <xf numFmtId="0" fontId="31" fillId="0" borderId="21" xfId="0" applyFont="1" applyBorder="1" applyAlignment="1">
      <alignment horizontal="center" vertical="center" wrapText="1"/>
    </xf>
    <xf numFmtId="0" fontId="31" fillId="0" borderId="84" xfId="0" applyFont="1" applyBorder="1" applyAlignment="1">
      <alignment horizontal="center" vertical="center" wrapText="1"/>
    </xf>
    <xf numFmtId="0" fontId="31" fillId="0" borderId="0" xfId="0" applyFont="1" applyAlignment="1">
      <alignment horizontal="center" vertical="center" wrapText="1"/>
    </xf>
    <xf numFmtId="0" fontId="31" fillId="0" borderId="8" xfId="0" applyFont="1" applyBorder="1" applyAlignment="1">
      <alignment horizontal="center" vertical="center" wrapText="1"/>
    </xf>
    <xf numFmtId="0" fontId="86" fillId="3" borderId="0" xfId="0" quotePrefix="1" applyFont="1" applyFill="1" applyAlignment="1">
      <alignment horizontal="justify" vertical="top" wrapText="1"/>
    </xf>
    <xf numFmtId="0" fontId="86" fillId="3" borderId="0" xfId="0" applyFont="1" applyFill="1" applyAlignment="1">
      <alignment horizontal="justify" vertical="top" wrapText="1"/>
    </xf>
    <xf numFmtId="0" fontId="86" fillId="3" borderId="8" xfId="0" applyFont="1" applyFill="1" applyBorder="1" applyAlignment="1">
      <alignment horizontal="justify" vertical="top" wrapText="1"/>
    </xf>
    <xf numFmtId="0" fontId="80" fillId="3" borderId="0" xfId="0" quotePrefix="1" applyFont="1" applyFill="1" applyAlignment="1">
      <alignment horizontal="justify" vertical="center" wrapText="1"/>
    </xf>
    <xf numFmtId="0" fontId="54" fillId="0" borderId="0" xfId="0" applyFont="1" applyAlignment="1">
      <alignment horizontal="justify" vertical="center" wrapText="1"/>
    </xf>
    <xf numFmtId="0" fontId="36" fillId="6" borderId="0" xfId="0" applyFont="1" applyFill="1" applyAlignment="1">
      <alignment horizontal="justify" vertical="center" wrapText="1"/>
    </xf>
    <xf numFmtId="0" fontId="0" fillId="6" borderId="0" xfId="0" applyFill="1" applyAlignment="1">
      <alignment horizontal="justify" vertical="center" wrapText="1"/>
    </xf>
    <xf numFmtId="195" fontId="80" fillId="3" borderId="0" xfId="0" quotePrefix="1" applyNumberFormat="1" applyFont="1" applyFill="1" applyAlignment="1">
      <alignment horizontal="justify" vertical="center" wrapText="1" shrinkToFit="1"/>
    </xf>
    <xf numFmtId="0" fontId="53" fillId="0" borderId="0" xfId="0" applyFont="1" applyAlignment="1">
      <alignment horizontal="justify" vertical="center"/>
    </xf>
    <xf numFmtId="0" fontId="113" fillId="6" borderId="0" xfId="0" applyFont="1" applyFill="1" applyAlignment="1">
      <alignment horizontal="right" vertical="center"/>
    </xf>
    <xf numFmtId="0" fontId="85" fillId="6" borderId="0" xfId="0" applyFont="1" applyFill="1" applyAlignment="1">
      <alignment horizontal="center" vertical="top" wrapText="1"/>
    </xf>
    <xf numFmtId="0" fontId="83" fillId="3" borderId="0" xfId="0" quotePrefix="1" applyFont="1" applyFill="1" applyAlignment="1">
      <alignment horizontal="center" vertical="center" wrapText="1"/>
    </xf>
    <xf numFmtId="0" fontId="54" fillId="0" borderId="0" xfId="0" applyFont="1" applyAlignment="1">
      <alignment horizontal="center" vertical="center" wrapText="1"/>
    </xf>
    <xf numFmtId="0" fontId="162" fillId="6" borderId="104" xfId="0" applyFont="1" applyFill="1" applyBorder="1" applyAlignment="1">
      <alignment horizontal="center" vertical="center" shrinkToFit="1"/>
    </xf>
    <xf numFmtId="0" fontId="162" fillId="0" borderId="104" xfId="0" applyFont="1" applyBorder="1" applyAlignment="1">
      <alignment horizontal="center" vertical="center" shrinkToFit="1"/>
    </xf>
    <xf numFmtId="0" fontId="83" fillId="3" borderId="0" xfId="0" applyFont="1" applyFill="1" applyAlignment="1">
      <alignment horizontal="center" vertical="top" wrapText="1"/>
    </xf>
    <xf numFmtId="0" fontId="54" fillId="0" borderId="0" xfId="0" applyFont="1" applyAlignment="1">
      <alignment horizontal="center" vertical="top" wrapText="1"/>
    </xf>
    <xf numFmtId="230" fontId="9" fillId="7" borderId="87" xfId="0" applyNumberFormat="1" applyFont="1" applyFill="1" applyBorder="1" applyAlignment="1">
      <alignment horizontal="left" vertical="center" indent="1" shrinkToFit="1"/>
    </xf>
    <xf numFmtId="0" fontId="10" fillId="0" borderId="29" xfId="0" applyFont="1" applyBorder="1" applyAlignment="1">
      <alignment horizontal="left" vertical="center" indent="1" shrinkToFit="1"/>
    </xf>
    <xf numFmtId="0" fontId="28" fillId="3" borderId="0" xfId="0" applyFont="1" applyFill="1" applyAlignment="1">
      <alignment horizontal="center" wrapText="1"/>
    </xf>
    <xf numFmtId="0" fontId="29" fillId="3" borderId="0" xfId="0" applyFont="1" applyFill="1" applyAlignment="1">
      <alignment horizontal="center" wrapText="1"/>
    </xf>
    <xf numFmtId="0" fontId="9" fillId="7" borderId="20" xfId="0" applyFont="1" applyFill="1" applyBorder="1" applyAlignment="1">
      <alignment horizontal="left" vertical="center" indent="1" shrinkToFit="1"/>
    </xf>
    <xf numFmtId="0" fontId="9" fillId="7" borderId="0" xfId="0" applyFont="1" applyFill="1" applyAlignment="1">
      <alignment horizontal="left" vertical="center" indent="1" shrinkToFit="1"/>
    </xf>
    <xf numFmtId="0" fontId="10" fillId="0" borderId="0" xfId="0" applyFont="1" applyAlignment="1">
      <alignment horizontal="left" vertical="center" indent="1" shrinkToFit="1"/>
    </xf>
    <xf numFmtId="0" fontId="10" fillId="0" borderId="15" xfId="0" applyFont="1" applyBorder="1" applyAlignment="1">
      <alignment horizontal="left" vertical="center" indent="1" shrinkToFit="1"/>
    </xf>
    <xf numFmtId="0" fontId="14" fillId="3" borderId="11" xfId="0" applyFont="1" applyFill="1" applyBorder="1" applyAlignment="1">
      <alignment horizontal="center" vertical="center" shrinkToFit="1"/>
    </xf>
    <xf numFmtId="0" fontId="9" fillId="0" borderId="11" xfId="0" applyFont="1" applyBorder="1" applyAlignment="1">
      <alignment horizontal="center" vertical="center" shrinkToFit="1"/>
    </xf>
    <xf numFmtId="238" fontId="101" fillId="0" borderId="28" xfId="0" applyNumberFormat="1" applyFont="1" applyBorder="1" applyAlignment="1" applyProtection="1">
      <alignment horizontal="center" vertical="center" shrinkToFit="1"/>
      <protection locked="0"/>
    </xf>
    <xf numFmtId="238" fontId="101" fillId="0" borderId="34" xfId="0" applyNumberFormat="1" applyFont="1" applyBorder="1" applyAlignment="1" applyProtection="1">
      <alignment horizontal="center" vertical="center" shrinkToFit="1"/>
      <protection locked="0"/>
    </xf>
    <xf numFmtId="238" fontId="101" fillId="0" borderId="29" xfId="0" applyNumberFormat="1" applyFont="1" applyBorder="1" applyAlignment="1" applyProtection="1">
      <alignment shrinkToFit="1"/>
      <protection locked="0"/>
    </xf>
    <xf numFmtId="213" fontId="106" fillId="0" borderId="29" xfId="0" applyNumberFormat="1" applyFont="1" applyBorder="1" applyAlignment="1" applyProtection="1">
      <alignment horizontal="center" vertical="center" shrinkToFit="1"/>
      <protection locked="0"/>
    </xf>
    <xf numFmtId="220" fontId="101" fillId="0" borderId="28" xfId="0" applyNumberFormat="1" applyFont="1" applyBorder="1" applyAlignment="1" applyProtection="1">
      <alignment horizontal="center" vertical="center"/>
      <protection locked="0"/>
    </xf>
    <xf numFmtId="220" fontId="101" fillId="0" borderId="29" xfId="0" applyNumberFormat="1" applyFont="1" applyBorder="1" applyAlignment="1" applyProtection="1">
      <alignment horizontal="center" vertical="center"/>
      <protection locked="0"/>
    </xf>
    <xf numFmtId="0" fontId="9" fillId="3" borderId="87" xfId="0" quotePrefix="1" applyFont="1" applyFill="1" applyBorder="1" applyAlignment="1">
      <alignment horizontal="center" vertical="center"/>
    </xf>
    <xf numFmtId="0" fontId="9" fillId="3" borderId="34" xfId="0" quotePrefix="1" applyFont="1" applyFill="1" applyBorder="1" applyAlignment="1">
      <alignment horizontal="center" vertical="center"/>
    </xf>
    <xf numFmtId="0" fontId="9" fillId="3" borderId="88" xfId="0" quotePrefix="1" applyFont="1" applyFill="1" applyBorder="1" applyAlignment="1">
      <alignment horizontal="center" vertical="center"/>
    </xf>
    <xf numFmtId="283" fontId="101" fillId="0" borderId="28" xfId="0" applyNumberFormat="1" applyFont="1" applyBorder="1" applyAlignment="1" applyProtection="1">
      <alignment horizontal="center" vertical="center" shrinkToFit="1"/>
      <protection locked="0"/>
    </xf>
    <xf numFmtId="283" fontId="101" fillId="0" borderId="29" xfId="0" applyNumberFormat="1" applyFont="1" applyBorder="1" applyAlignment="1" applyProtection="1">
      <alignment horizontal="center" vertical="center" shrinkToFit="1"/>
      <protection locked="0"/>
    </xf>
    <xf numFmtId="250" fontId="9" fillId="6" borderId="28" xfId="0" applyNumberFormat="1" applyFont="1" applyFill="1" applyBorder="1" applyAlignment="1">
      <alignment horizontal="center" vertical="center" shrinkToFit="1"/>
    </xf>
    <xf numFmtId="250" fontId="9" fillId="6" borderId="88" xfId="0" applyNumberFormat="1" applyFont="1" applyFill="1" applyBorder="1" applyAlignment="1">
      <alignment horizontal="center" vertical="center" shrinkToFit="1"/>
    </xf>
    <xf numFmtId="250" fontId="8" fillId="0" borderId="28" xfId="0" applyNumberFormat="1" applyFont="1" applyBorder="1" applyAlignment="1" applyProtection="1">
      <alignment horizontal="center" vertical="center" shrinkToFit="1"/>
      <protection locked="0"/>
    </xf>
    <xf numFmtId="250" fontId="8" fillId="0" borderId="29" xfId="0" applyNumberFormat="1" applyFont="1" applyBorder="1" applyAlignment="1" applyProtection="1">
      <alignment horizontal="center" vertical="center" shrinkToFit="1"/>
      <protection locked="0"/>
    </xf>
    <xf numFmtId="0" fontId="9" fillId="3" borderId="20" xfId="0" quotePrefix="1" applyFont="1" applyFill="1" applyBorder="1" applyAlignment="1">
      <alignment horizontal="justify" vertical="center"/>
    </xf>
    <xf numFmtId="0" fontId="10" fillId="0" borderId="0" xfId="0" applyFont="1" applyAlignment="1">
      <alignment horizontal="justify"/>
    </xf>
    <xf numFmtId="0" fontId="10" fillId="0" borderId="15" xfId="0" applyFont="1" applyBorder="1" applyAlignment="1">
      <alignment horizontal="justify"/>
    </xf>
    <xf numFmtId="0" fontId="10" fillId="0" borderId="20" xfId="0" applyFont="1" applyBorder="1" applyAlignment="1">
      <alignment horizontal="justify"/>
    </xf>
    <xf numFmtId="231" fontId="9" fillId="7" borderId="34" xfId="0" applyNumberFormat="1" applyFont="1" applyFill="1" applyBorder="1" applyAlignment="1">
      <alignment horizontal="center" vertical="center" shrinkToFit="1"/>
    </xf>
    <xf numFmtId="231" fontId="9" fillId="7" borderId="29" xfId="0" applyNumberFormat="1" applyFont="1" applyFill="1" applyBorder="1" applyAlignment="1">
      <alignment horizontal="center" vertical="center" shrinkToFit="1"/>
    </xf>
    <xf numFmtId="292" fontId="9" fillId="6" borderId="28" xfId="0" applyNumberFormat="1" applyFont="1" applyFill="1" applyBorder="1" applyAlignment="1">
      <alignment horizontal="right" vertical="center"/>
    </xf>
    <xf numFmtId="292" fontId="9" fillId="6" borderId="34" xfId="0" applyNumberFormat="1" applyFont="1" applyFill="1" applyBorder="1" applyAlignment="1">
      <alignment horizontal="right" vertical="center"/>
    </xf>
    <xf numFmtId="310" fontId="101" fillId="8" borderId="28" xfId="0" applyNumberFormat="1" applyFont="1" applyFill="1" applyBorder="1" applyAlignment="1" applyProtection="1">
      <alignment horizontal="center" vertical="center" shrinkToFit="1"/>
      <protection locked="0"/>
    </xf>
    <xf numFmtId="310" fontId="101" fillId="8" borderId="29" xfId="0" applyNumberFormat="1" applyFont="1" applyFill="1" applyBorder="1" applyAlignment="1" applyProtection="1">
      <alignment horizontal="center" vertical="center" shrinkToFit="1"/>
      <protection locked="0"/>
    </xf>
    <xf numFmtId="0" fontId="9" fillId="3" borderId="87" xfId="0" quotePrefix="1" applyFont="1" applyFill="1" applyBorder="1" applyAlignment="1">
      <alignment horizontal="left" vertical="center" indent="1"/>
    </xf>
    <xf numFmtId="0" fontId="10" fillId="0" borderId="34" xfId="0" applyFont="1" applyBorder="1" applyAlignment="1">
      <alignment horizontal="left" vertical="center" indent="1"/>
    </xf>
    <xf numFmtId="0" fontId="10" fillId="0" borderId="88" xfId="0" applyFont="1" applyBorder="1" applyAlignment="1">
      <alignment horizontal="left" vertical="center" indent="1"/>
    </xf>
    <xf numFmtId="0" fontId="9" fillId="6" borderId="28" xfId="0" applyFont="1" applyFill="1" applyBorder="1" applyAlignment="1">
      <alignment horizontal="center" vertical="center" shrinkToFit="1"/>
    </xf>
    <xf numFmtId="0" fontId="9" fillId="6" borderId="34" xfId="0" applyFont="1" applyFill="1" applyBorder="1" applyAlignment="1">
      <alignment horizontal="center" vertical="center" shrinkToFit="1"/>
    </xf>
    <xf numFmtId="0" fontId="10" fillId="0" borderId="88" xfId="0" applyFont="1" applyBorder="1" applyAlignment="1">
      <alignment horizontal="center" vertical="center" shrinkToFit="1"/>
    </xf>
    <xf numFmtId="0" fontId="10" fillId="0" borderId="18" xfId="0" applyFont="1" applyBorder="1" applyAlignment="1">
      <alignment horizontal="center" vertical="center"/>
    </xf>
    <xf numFmtId="0" fontId="0" fillId="0" borderId="19" xfId="0" applyBorder="1" applyAlignment="1">
      <alignment horizontal="center" vertical="center"/>
    </xf>
    <xf numFmtId="0" fontId="11" fillId="2" borderId="84" xfId="0" applyFont="1" applyFill="1" applyBorder="1" applyAlignment="1">
      <alignment horizontal="center" vertical="center" wrapText="1"/>
    </xf>
    <xf numFmtId="0" fontId="0" fillId="0" borderId="8" xfId="0" applyBorder="1" applyAlignment="1">
      <alignment horizontal="center" vertical="center" wrapText="1"/>
    </xf>
    <xf numFmtId="0" fontId="11" fillId="2" borderId="22" xfId="0" applyFont="1" applyFill="1" applyBorder="1" applyAlignment="1">
      <alignment horizontal="center" vertical="center"/>
    </xf>
    <xf numFmtId="0" fontId="13" fillId="0" borderId="11" xfId="0" applyFont="1" applyBorder="1" applyAlignment="1">
      <alignment horizontal="center" vertical="center"/>
    </xf>
    <xf numFmtId="0" fontId="13" fillId="0" borderId="13" xfId="0" applyFont="1" applyBorder="1" applyAlignment="1">
      <alignment horizontal="center" vertical="center"/>
    </xf>
    <xf numFmtId="0" fontId="5" fillId="2" borderId="24" xfId="0" applyFont="1" applyFill="1" applyBorder="1" applyAlignment="1">
      <alignment horizontal="center" vertical="center"/>
    </xf>
    <xf numFmtId="0" fontId="4" fillId="0" borderId="21" xfId="0" applyFont="1" applyBorder="1" applyAlignment="1">
      <alignment horizontal="center" vertical="center"/>
    </xf>
    <xf numFmtId="0" fontId="4" fillId="0" borderId="84" xfId="0" applyFont="1" applyBorder="1" applyAlignment="1">
      <alignment horizontal="center" vertical="center"/>
    </xf>
    <xf numFmtId="0" fontId="11" fillId="2" borderId="20" xfId="0" applyFont="1" applyFill="1" applyBorder="1" applyAlignment="1">
      <alignment horizontal="center" vertical="center" shrinkToFit="1"/>
    </xf>
    <xf numFmtId="0" fontId="10" fillId="0" borderId="0" xfId="0" applyFont="1" applyAlignment="1">
      <alignment horizontal="center" vertical="center" shrinkToFit="1"/>
    </xf>
    <xf numFmtId="0" fontId="4" fillId="3" borderId="0" xfId="0" quotePrefix="1" applyFont="1" applyFill="1" applyAlignment="1">
      <alignment horizontal="center" vertical="center" shrinkToFit="1"/>
    </xf>
    <xf numFmtId="0" fontId="4" fillId="3" borderId="0" xfId="0" applyFont="1" applyFill="1" applyAlignment="1">
      <alignment horizontal="center" vertical="center" shrinkToFit="1"/>
    </xf>
    <xf numFmtId="0" fontId="11" fillId="2" borderId="4"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11" fillId="2" borderId="72" xfId="0" applyFont="1" applyFill="1" applyBorder="1" applyAlignment="1">
      <alignment horizontal="center" vertical="center" wrapText="1"/>
    </xf>
    <xf numFmtId="0" fontId="10" fillId="2" borderId="73" xfId="0" applyFont="1" applyFill="1" applyBorder="1" applyAlignment="1">
      <alignment horizontal="center" vertical="center"/>
    </xf>
    <xf numFmtId="0" fontId="10" fillId="0" borderId="86" xfId="0" applyFont="1" applyBorder="1" applyAlignment="1">
      <alignment horizontal="center" vertical="center"/>
    </xf>
    <xf numFmtId="0" fontId="8" fillId="3" borderId="0" xfId="2" applyFont="1" applyFill="1" applyBorder="1" applyAlignment="1" applyProtection="1">
      <alignment horizontal="center" vertical="center" shrinkToFit="1"/>
    </xf>
    <xf numFmtId="0" fontId="8" fillId="0" borderId="0" xfId="2" applyFont="1" applyBorder="1" applyAlignment="1" applyProtection="1">
      <alignment horizontal="center" vertical="center" shrinkToFit="1"/>
    </xf>
    <xf numFmtId="0" fontId="15" fillId="2" borderId="4"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10" xfId="0" applyFont="1" applyFill="1" applyBorder="1" applyAlignment="1">
      <alignment horizontal="center" vertical="center" wrapText="1"/>
    </xf>
  </cellXfs>
  <cellStyles count="5">
    <cellStyle name="Estilo 1" xfId="1" xr:uid="{00000000-0005-0000-0000-000000000000}"/>
    <cellStyle name="Hipervínculo" xfId="2" builtinId="8"/>
    <cellStyle name="Millares" xfId="3" builtinId="3"/>
    <cellStyle name="Normal" xfId="0" builtinId="0"/>
    <cellStyle name="Porcentaje" xfId="4" builtinId="5"/>
  </cellStyles>
  <dxfs count="40">
    <dxf>
      <font>
        <condense val="0"/>
        <extend val="0"/>
        <color indexed="22"/>
      </font>
      <fill>
        <patternFill>
          <bgColor indexed="22"/>
        </patternFill>
      </fill>
    </dxf>
    <dxf>
      <font>
        <b/>
        <i val="0"/>
        <condense val="0"/>
        <extend val="0"/>
      </font>
      <fill>
        <patternFill>
          <bgColor indexed="47"/>
        </patternFill>
      </fill>
    </dxf>
    <dxf>
      <font>
        <b/>
        <i val="0"/>
        <condense val="0"/>
        <extend val="0"/>
      </font>
      <fill>
        <patternFill>
          <bgColor indexed="43"/>
        </patternFill>
      </fill>
    </dxf>
    <dxf>
      <font>
        <b/>
        <i val="0"/>
        <condense val="0"/>
        <extend val="0"/>
      </font>
      <fill>
        <patternFill>
          <bgColor indexed="42"/>
        </patternFill>
      </fill>
    </dxf>
    <dxf>
      <font>
        <b/>
        <i val="0"/>
        <condense val="0"/>
        <extend val="0"/>
        <color indexed="13"/>
      </font>
      <fill>
        <patternFill>
          <bgColor indexed="22"/>
        </patternFill>
      </fill>
    </dxf>
    <dxf>
      <font>
        <b/>
        <i val="0"/>
        <condense val="0"/>
        <extend val="0"/>
        <color indexed="13"/>
      </font>
      <fill>
        <patternFill>
          <bgColor indexed="23"/>
        </patternFill>
      </fill>
    </dxf>
    <dxf>
      <font>
        <b/>
        <i val="0"/>
        <condense val="0"/>
        <extend val="0"/>
        <color indexed="51"/>
      </font>
      <fill>
        <patternFill>
          <bgColor indexed="23"/>
        </patternFill>
      </fill>
    </dxf>
    <dxf>
      <font>
        <b val="0"/>
        <i val="0"/>
        <condense val="0"/>
        <extend val="0"/>
      </font>
    </dxf>
    <dxf>
      <font>
        <condense val="0"/>
        <extend val="0"/>
        <color auto="1"/>
      </font>
      <fill>
        <patternFill patternType="none">
          <bgColor indexed="65"/>
        </patternFill>
      </fill>
    </dxf>
    <dxf>
      <font>
        <condense val="0"/>
        <extend val="0"/>
        <color auto="1"/>
      </font>
      <fill>
        <patternFill patternType="none">
          <bgColor indexed="65"/>
        </patternFill>
      </fill>
    </dxf>
    <dxf>
      <fill>
        <patternFill patternType="none">
          <bgColor auto="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ndense val="0"/>
        <extend val="0"/>
        <color indexed="22"/>
      </font>
      <fill>
        <patternFill>
          <bgColor indexed="22"/>
        </patternFill>
      </fill>
    </dxf>
    <dxf>
      <font>
        <condense val="0"/>
        <extend val="0"/>
        <color indexed="22"/>
      </font>
      <fill>
        <patternFill>
          <bgColor indexed="22"/>
        </patternFill>
      </fill>
    </dxf>
    <dxf>
      <fill>
        <patternFill>
          <bgColor indexed="47"/>
        </patternFill>
      </fill>
    </dxf>
    <dxf>
      <fill>
        <patternFill>
          <bgColor indexed="43"/>
        </patternFill>
      </fill>
    </dxf>
    <dxf>
      <fill>
        <patternFill>
          <bgColor indexed="42"/>
        </patternFill>
      </fill>
    </dxf>
    <dxf>
      <font>
        <condense val="0"/>
        <extend val="0"/>
        <color indexed="22"/>
      </font>
      <fill>
        <patternFill>
          <bgColor indexed="22"/>
        </patternFill>
      </fill>
    </dxf>
    <dxf>
      <fill>
        <patternFill>
          <bgColor indexed="22"/>
        </patternFill>
      </fill>
    </dxf>
    <dxf>
      <font>
        <condense val="0"/>
        <extend val="0"/>
        <color indexed="22"/>
      </font>
      <fill>
        <patternFill>
          <bgColor indexed="22"/>
        </patternFill>
      </fill>
    </dxf>
    <dxf>
      <font>
        <b/>
        <i val="0"/>
        <condense val="0"/>
        <extend val="0"/>
        <color indexed="8"/>
      </font>
      <fill>
        <patternFill>
          <bgColor indexed="9"/>
        </patternFill>
      </fill>
    </dxf>
    <dxf>
      <font>
        <b/>
        <i val="0"/>
        <condense val="0"/>
        <extend val="0"/>
        <color indexed="10"/>
      </font>
      <fill>
        <patternFill>
          <bgColor indexed="22"/>
        </patternFill>
      </fill>
    </dxf>
    <dxf>
      <fill>
        <patternFill>
          <bgColor rgb="FFD6EDBD"/>
        </patternFill>
      </fill>
    </dxf>
    <dxf>
      <fill>
        <patternFill>
          <bgColor rgb="FFFFFFCC"/>
        </patternFill>
      </fill>
    </dxf>
    <dxf>
      <fill>
        <patternFill>
          <bgColor rgb="FFFFCF89"/>
        </patternFill>
      </fill>
    </dxf>
    <dxf>
      <font>
        <b/>
        <i val="0"/>
        <condense val="0"/>
        <extend val="0"/>
        <color indexed="22"/>
      </font>
      <fill>
        <patternFill>
          <bgColor indexed="23"/>
        </patternFill>
      </fill>
    </dxf>
    <dxf>
      <font>
        <condense val="0"/>
        <extend val="0"/>
        <color indexed="22"/>
      </font>
      <fill>
        <patternFill>
          <bgColor indexed="22"/>
        </patternFill>
      </fill>
    </dxf>
    <dxf>
      <fill>
        <patternFill>
          <bgColor indexed="22"/>
        </patternFill>
      </fill>
    </dxf>
    <dxf>
      <fill>
        <patternFill>
          <bgColor indexed="22"/>
        </patternFill>
      </fill>
    </dxf>
    <dxf>
      <font>
        <condense val="0"/>
        <extend val="0"/>
        <color indexed="22"/>
      </font>
      <fill>
        <patternFill>
          <bgColor indexed="22"/>
        </patternFill>
      </fill>
    </dxf>
    <dxf>
      <font>
        <b/>
        <i val="0"/>
        <condense val="0"/>
        <extend val="0"/>
        <color indexed="10"/>
      </font>
      <fill>
        <patternFill>
          <bgColor indexed="22"/>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condense val="0"/>
        <extend val="0"/>
        <color auto="1"/>
      </font>
      <fill>
        <patternFill>
          <bgColor indexed="22"/>
        </patternFill>
      </fill>
    </dxf>
  </dxfs>
  <tableStyles count="0" defaultTableStyle="TableStyleMedium9" defaultPivotStyle="PivotStyleLight16"/>
  <colors>
    <mruColors>
      <color rgb="FFFFFF99"/>
      <color rgb="FF0E00C0"/>
      <color rgb="FF0000C4"/>
      <color rgb="FF0C00A8"/>
      <color rgb="FFFFFFCC"/>
      <color rgb="FF0441BC"/>
      <color rgb="FF0000FF"/>
      <color rgb="FF0228E4"/>
      <color rgb="FF0000FA"/>
      <color rgb="FF0551E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3</xdr:col>
      <xdr:colOff>11598</xdr:colOff>
      <xdr:row>63</xdr:row>
      <xdr:rowOff>5384</xdr:rowOff>
    </xdr:from>
    <xdr:to>
      <xdr:col>8</xdr:col>
      <xdr:colOff>6349</xdr:colOff>
      <xdr:row>64</xdr:row>
      <xdr:rowOff>185959</xdr:rowOff>
    </xdr:to>
    <xdr:pic>
      <xdr:nvPicPr>
        <xdr:cNvPr id="23140" name="Picture 4096" descr="J:\WEB's - AstroPráctica - NeuroClassics - NeuroConsult\AstroPráctica\imag_web\logo_temas.jpg">
          <a:extLst>
            <a:ext uri="{FF2B5EF4-FFF2-40B4-BE49-F238E27FC236}">
              <a16:creationId xmlns:a16="http://schemas.microsoft.com/office/drawing/2014/main" id="{00000000-0008-0000-0000-0000645A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195998" y="12013234"/>
          <a:ext cx="1671151" cy="371075"/>
        </a:xfrm>
        <a:prstGeom prst="rect">
          <a:avLst/>
        </a:prstGeom>
        <a:noFill/>
        <a:ln w="9525">
          <a:noFill/>
          <a:miter lim="800000"/>
          <a:headEnd/>
          <a:tailEnd/>
        </a:ln>
      </xdr:spPr>
    </xdr:pic>
    <xdr:clientData/>
  </xdr:twoCellAnchor>
  <xdr:twoCellAnchor editAs="oneCell">
    <xdr:from>
      <xdr:col>15</xdr:col>
      <xdr:colOff>676275</xdr:colOff>
      <xdr:row>44</xdr:row>
      <xdr:rowOff>142875</xdr:rowOff>
    </xdr:from>
    <xdr:to>
      <xdr:col>22</xdr:col>
      <xdr:colOff>120910</xdr:colOff>
      <xdr:row>51</xdr:row>
      <xdr:rowOff>3675</xdr:rowOff>
    </xdr:to>
    <xdr:pic>
      <xdr:nvPicPr>
        <xdr:cNvPr id="3" name="Imagen 2">
          <a:extLst>
            <a:ext uri="{FF2B5EF4-FFF2-40B4-BE49-F238E27FC236}">
              <a16:creationId xmlns:a16="http://schemas.microsoft.com/office/drawing/2014/main" id="{7652BDBB-3C93-C2DF-0F54-BD194A09B95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058025" y="8534400"/>
          <a:ext cx="2202000" cy="108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12</xdr:col>
      <xdr:colOff>242003</xdr:colOff>
      <xdr:row>3</xdr:row>
      <xdr:rowOff>239167</xdr:rowOff>
    </xdr:from>
    <xdr:to>
      <xdr:col>16</xdr:col>
      <xdr:colOff>2170</xdr:colOff>
      <xdr:row>8</xdr:row>
      <xdr:rowOff>166642</xdr:rowOff>
    </xdr:to>
    <xdr:pic>
      <xdr:nvPicPr>
        <xdr:cNvPr id="23579" name="Picture 8" descr="EIA1956_resampled">
          <a:extLst>
            <a:ext uri="{FF2B5EF4-FFF2-40B4-BE49-F238E27FC236}">
              <a16:creationId xmlns:a16="http://schemas.microsoft.com/office/drawing/2014/main" id="{00000000-0008-0000-0100-00001B5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881178" y="677317"/>
          <a:ext cx="1502299" cy="1080000"/>
        </a:xfrm>
        <a:prstGeom prst="rect">
          <a:avLst/>
        </a:prstGeom>
        <a:noFill/>
        <a:ln w="28575">
          <a:solidFill>
            <a:srgbClr val="000000"/>
          </a:solidFill>
          <a:miter lim="800000"/>
          <a:headEnd/>
          <a:tailEnd/>
        </a:ln>
      </xdr:spPr>
    </xdr:pic>
    <xdr:clientData/>
  </xdr:twoCellAnchor>
  <xdr:twoCellAnchor editAs="oneCell">
    <xdr:from>
      <xdr:col>12</xdr:col>
      <xdr:colOff>228600</xdr:colOff>
      <xdr:row>9</xdr:row>
      <xdr:rowOff>5882</xdr:rowOff>
    </xdr:from>
    <xdr:to>
      <xdr:col>16</xdr:col>
      <xdr:colOff>1886</xdr:colOff>
      <xdr:row>17</xdr:row>
      <xdr:rowOff>47626</xdr:rowOff>
    </xdr:to>
    <xdr:pic>
      <xdr:nvPicPr>
        <xdr:cNvPr id="23580" name="3 Imagen" descr="Monitor7''-DSLR.jpg">
          <a:extLst>
            <a:ext uri="{FF2B5EF4-FFF2-40B4-BE49-F238E27FC236}">
              <a16:creationId xmlns:a16="http://schemas.microsoft.com/office/drawing/2014/main" id="{00000000-0008-0000-0100-00001C5C0000}"/>
            </a:ext>
          </a:extLst>
        </xdr:cNvPr>
        <xdr:cNvPicPr>
          <a:picLocks noChangeAspect="1"/>
        </xdr:cNvPicPr>
      </xdr:nvPicPr>
      <xdr:blipFill>
        <a:blip xmlns:r="http://schemas.openxmlformats.org/officeDocument/2006/relationships" r:embed="rId2" cstate="print"/>
        <a:srcRect/>
        <a:stretch>
          <a:fillRect/>
        </a:stretch>
      </xdr:blipFill>
      <xdr:spPr bwMode="auto">
        <a:xfrm>
          <a:off x="8867775" y="2034707"/>
          <a:ext cx="1533525" cy="1832444"/>
        </a:xfrm>
        <a:prstGeom prst="rect">
          <a:avLst/>
        </a:prstGeom>
        <a:noFill/>
        <a:ln w="9525">
          <a:noFill/>
          <a:miter lim="800000"/>
          <a:headEnd/>
          <a:tailEnd/>
        </a:ln>
        <a:effectLst>
          <a:glow rad="25400">
            <a:schemeClr val="tx1">
              <a:alpha val="90000"/>
            </a:schemeClr>
          </a:glow>
          <a:softEdge rad="25400"/>
        </a:effec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90535</xdr:colOff>
      <xdr:row>6</xdr:row>
      <xdr:rowOff>27160</xdr:rowOff>
    </xdr:from>
    <xdr:to>
      <xdr:col>6</xdr:col>
      <xdr:colOff>289711</xdr:colOff>
      <xdr:row>6</xdr:row>
      <xdr:rowOff>172016</xdr:rowOff>
    </xdr:to>
    <xdr:pic>
      <xdr:nvPicPr>
        <xdr:cNvPr id="18382" name="Picture 3" descr="diagonal">
          <a:extLst>
            <a:ext uri="{FF2B5EF4-FFF2-40B4-BE49-F238E27FC236}">
              <a16:creationId xmlns:a16="http://schemas.microsoft.com/office/drawing/2014/main" id="{00000000-0008-0000-0200-0000CE470000}"/>
            </a:ext>
          </a:extLst>
        </xdr:cNvPr>
        <xdr:cNvPicPr>
          <a:picLocks noChangeArrowheads="1"/>
        </xdr:cNvPicPr>
      </xdr:nvPicPr>
      <xdr:blipFill>
        <a:blip xmlns:r="http://schemas.openxmlformats.org/officeDocument/2006/relationships" r:embed="rId1" cstate="print"/>
        <a:srcRect/>
        <a:stretch>
          <a:fillRect/>
        </a:stretch>
      </xdr:blipFill>
      <xdr:spPr bwMode="auto">
        <a:xfrm>
          <a:off x="3929204" y="1539089"/>
          <a:ext cx="199176" cy="14485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www.astropractica.org/tem2/filt/filt.htm" TargetMode="External"/><Relationship Id="rId7" Type="http://schemas.openxmlformats.org/officeDocument/2006/relationships/hyperlink" Target="https://www.rtve.es/noticias/20211031/cambio-hora-octubre-invierno-2021/2203060.shtml" TargetMode="External"/><Relationship Id="rId2" Type="http://schemas.openxmlformats.org/officeDocument/2006/relationships/hyperlink" Target="http://www.astropractica.org/" TargetMode="External"/><Relationship Id="rId1" Type="http://schemas.openxmlformats.org/officeDocument/2006/relationships/hyperlink" Target="http://www.astropractica.org/tab/seeing.htm" TargetMode="External"/><Relationship Id="rId6" Type="http://schemas.openxmlformats.org/officeDocument/2006/relationships/hyperlink" Target="https://www.astropractica.org/tem3/messier/Messier.htm" TargetMode="External"/><Relationship Id="rId5" Type="http://schemas.openxmlformats.org/officeDocument/2006/relationships/hyperlink" Target="https://astropractica.org/tab/01.xlsx" TargetMode="External"/><Relationship Id="rId4" Type="http://schemas.openxmlformats.org/officeDocument/2006/relationships/hyperlink" Target="mailto:jmp.astropractica@gmail.com" TargetMode="External"/><Relationship Id="rId9"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8" Type="http://schemas.openxmlformats.org/officeDocument/2006/relationships/drawing" Target="../drawings/drawing2.xml"/><Relationship Id="rId3" Type="http://schemas.openxmlformats.org/officeDocument/2006/relationships/hyperlink" Target="http://www.pvol.ehu.es/pvol/tools.jsp?action=jdcm" TargetMode="External"/><Relationship Id="rId7" Type="http://schemas.openxmlformats.org/officeDocument/2006/relationships/printerSettings" Target="../printerSettings/printerSettings2.bin"/><Relationship Id="rId2" Type="http://schemas.openxmlformats.org/officeDocument/2006/relationships/hyperlink" Target="http://www.pvol.ehu.es/pvol/tools.jsp?action=jdcm" TargetMode="External"/><Relationship Id="rId1" Type="http://schemas.openxmlformats.org/officeDocument/2006/relationships/hyperlink" Target="http://www.pvol.ehu.es/pvol/tools.jsp?action=jdcm" TargetMode="External"/><Relationship Id="rId6" Type="http://schemas.openxmlformats.org/officeDocument/2006/relationships/hyperlink" Target="https://www.astropractica.org/ejem/s-solar/luna.pdf" TargetMode="External"/><Relationship Id="rId5" Type="http://schemas.openxmlformats.org/officeDocument/2006/relationships/hyperlink" Target="https://astropractica.org/tem3/messier/messier.htm" TargetMode="External"/><Relationship Id="rId4" Type="http://schemas.openxmlformats.org/officeDocument/2006/relationships/hyperlink" Target="http://www.pvol.ehu.es/pvol/tools.jsp?action=jdcm"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www.artemisccd.co.uk/" TargetMode="External"/><Relationship Id="rId21" Type="http://schemas.openxmlformats.org/officeDocument/2006/relationships/hyperlink" Target="http://www.starlight-xpress.co.uk/SXV-M25.htm" TargetMode="External"/><Relationship Id="rId42" Type="http://schemas.openxmlformats.org/officeDocument/2006/relationships/hyperlink" Target="http://www.theimagingsource.com/es_ES/products/cameras/usb-ccd-mono/dmk21au618/" TargetMode="External"/><Relationship Id="rId47" Type="http://schemas.openxmlformats.org/officeDocument/2006/relationships/hyperlink" Target="http://www.optcorp.com/product.aspx?pid=8208" TargetMode="External"/><Relationship Id="rId63" Type="http://schemas.openxmlformats.org/officeDocument/2006/relationships/hyperlink" Target="https://www.telescopiomania.com/camaras-ccd/12264-camara-cmos-qhy5iii462-mc.html?gad_source=5&amp;gclid=EAIaIQobChMIjviH-5aLiwMVekJBAh2iLj3IEAQYASABEgK9PfD_BwE" TargetMode="External"/><Relationship Id="rId68" Type="http://schemas.openxmlformats.org/officeDocument/2006/relationships/hyperlink" Target="https://www.astroshop.es/camaras-para-astronomia/zwo-camara-asi-585-mc-color/p,75716?p_id=75716&amp;utm_medium=cpc&amp;utm_term=75716&amp;utm_campaign=2601&amp;ia-pkpmtrack=31-0373835313236323131303-626-1048-31715&amp;utm_source=froogle-es&amp;ptype=es&amp;gad_source=5&amp;gad_campaignid=21045901362&amp;gclid=EAIaIQobChMIvaPZt_qIkgMVo4J8Bh0nzSBgEAQYASABEgIHz_D_BwE&amp;utm_content=" TargetMode="External"/><Relationship Id="rId7" Type="http://schemas.openxmlformats.org/officeDocument/2006/relationships/hyperlink" Target="http://astro.ft.uam.es/TJM/tjm/webpaginas/practicas/manuales/ST8/ST8.html" TargetMode="External"/><Relationship Id="rId2" Type="http://schemas.openxmlformats.org/officeDocument/2006/relationships/hyperlink" Target="http://www.quesabesde.com/camdig/productos/cam199g.asp" TargetMode="External"/><Relationship Id="rId16" Type="http://schemas.openxmlformats.org/officeDocument/2006/relationships/hyperlink" Target="http://www.theimagingsource.com/es_ES/" TargetMode="External"/><Relationship Id="rId29" Type="http://schemas.openxmlformats.org/officeDocument/2006/relationships/hyperlink" Target="http://www.telescope.com/control/product/~category_id=fall2008new/~product_id=52084" TargetMode="External"/><Relationship Id="rId11" Type="http://schemas.openxmlformats.org/officeDocument/2006/relationships/hyperlink" Target="http://www.ccd.com/ap32ME.PDF" TargetMode="External"/><Relationship Id="rId24" Type="http://schemas.openxmlformats.org/officeDocument/2006/relationships/hyperlink" Target="http://www.x-astro.com/Productos/BaseProductos.htm" TargetMode="External"/><Relationship Id="rId32" Type="http://schemas.openxmlformats.org/officeDocument/2006/relationships/hyperlink" Target="http://www.pixmania.com/es/es/1631698/art/canon/eos-5d-mark-ii.html" TargetMode="External"/><Relationship Id="rId37" Type="http://schemas.openxmlformats.org/officeDocument/2006/relationships/hyperlink" Target="http://tienda.lunatico.es/WebRoot/Store/Shops/Store_002E_Lunatico/MediaGallery/manuales/QHY12.pdf" TargetMode="External"/><Relationship Id="rId40" Type="http://schemas.openxmlformats.org/officeDocument/2006/relationships/hyperlink" Target="http://www.theimagingsource.com/es_ES/" TargetMode="External"/><Relationship Id="rId45" Type="http://schemas.openxmlformats.org/officeDocument/2006/relationships/hyperlink" Target="http://www.theimagingsource.com/en_US/products/cameras/usb-ccd-mono/dmk31au03/" TargetMode="External"/><Relationship Id="rId53" Type="http://schemas.openxmlformats.org/officeDocument/2006/relationships/hyperlink" Target="http://www.canon.es/for_home/product_finder/cameras/digital_slr/eos_1200d/" TargetMode="External"/><Relationship Id="rId58" Type="http://schemas.openxmlformats.org/officeDocument/2006/relationships/hyperlink" Target="https://www.astroshop.es/camaras-para-astronomia/zwo-camara-asi-183-mm-pro-mono/p,56539" TargetMode="External"/><Relationship Id="rId66" Type="http://schemas.openxmlformats.org/officeDocument/2006/relationships/hyperlink" Target="https://www.zwoastro.com/product/asi2600/" TargetMode="External"/><Relationship Id="rId5" Type="http://schemas.openxmlformats.org/officeDocument/2006/relationships/hyperlink" Target="http://www.quesabesde.com/camdig/productos/cam624e.asp" TargetMode="External"/><Relationship Id="rId61" Type="http://schemas.openxmlformats.org/officeDocument/2006/relationships/hyperlink" Target="https://telescopiosbarcelona.com/zwo-asi/2189-camara-zwo-asi-178mc-color-usb30" TargetMode="External"/><Relationship Id="rId19" Type="http://schemas.openxmlformats.org/officeDocument/2006/relationships/hyperlink" Target="http://www.dzoom.org.es/sp-10678-Canon-EOS-350D-(Digital-Rebel-XT).html" TargetMode="External"/><Relationship Id="rId14" Type="http://schemas.openxmlformats.org/officeDocument/2006/relationships/hyperlink" Target="http://www.artemisccd.co.uk/icx285c.htm" TargetMode="External"/><Relationship Id="rId22" Type="http://schemas.openxmlformats.org/officeDocument/2006/relationships/hyperlink" Target="http://www.atik-instruments.com/" TargetMode="External"/><Relationship Id="rId27" Type="http://schemas.openxmlformats.org/officeDocument/2006/relationships/hyperlink" Target="http://qhyccd.com/" TargetMode="External"/><Relationship Id="rId30" Type="http://schemas.openxmlformats.org/officeDocument/2006/relationships/hyperlink" Target="http://www.lumenera.com/products/astro-cameras/skynyx-2_0.php" TargetMode="External"/><Relationship Id="rId35" Type="http://schemas.openxmlformats.org/officeDocument/2006/relationships/hyperlink" Target="http://www.yubagold.com/tests/KAF8300.pdf" TargetMode="External"/><Relationship Id="rId43" Type="http://schemas.openxmlformats.org/officeDocument/2006/relationships/hyperlink" Target="http://www.theimagingsource.com/downloads/icx618ala.en_US.pdf" TargetMode="External"/><Relationship Id="rId48" Type="http://schemas.openxmlformats.org/officeDocument/2006/relationships/hyperlink" Target="http://www.theimagingsource.com/es_ES/products/cameras/usb-ccd-mono/dmk41au02/" TargetMode="External"/><Relationship Id="rId56" Type="http://schemas.openxmlformats.org/officeDocument/2006/relationships/hyperlink" Target="https://www.astroshop.es/camaras-para-astronomia/zwo-camara-asi-120-mm-s-mono/p,45257" TargetMode="External"/><Relationship Id="rId64" Type="http://schemas.openxmlformats.org/officeDocument/2006/relationships/hyperlink" Target="https://agenaastro.com/qhy-5-iii-585c-ver-2-8-4-mp-color-astronomy-camera-with-usb-3-2-qhy5-iii-585-c.html?srsltid=AfmBOoqIyLhBgcelm4FBJm-tMA_dtV-P5FeeA-FetyL0RCXe-NO_6ZKV" TargetMode="External"/><Relationship Id="rId69" Type="http://schemas.openxmlformats.org/officeDocument/2006/relationships/printerSettings" Target="../printerSettings/printerSettings3.bin"/><Relationship Id="rId8" Type="http://schemas.openxmlformats.org/officeDocument/2006/relationships/hyperlink" Target="http://www.segundamano.es/fichaI.cfm?id=2349434&amp;categoria_id=12&amp;subcategoria_id=24&amp;seccion_id=2430" TargetMode="External"/><Relationship Id="rId51" Type="http://schemas.openxmlformats.org/officeDocument/2006/relationships/hyperlink" Target="http://www.controlelectronic.com/WAT-100N.htm" TargetMode="External"/><Relationship Id="rId3" Type="http://schemas.openxmlformats.org/officeDocument/2006/relationships/hyperlink" Target="http://www.atik-instruments.com/" TargetMode="External"/><Relationship Id="rId12" Type="http://schemas.openxmlformats.org/officeDocument/2006/relationships/hyperlink" Target="http://www.ccd.com/AP4.PDF" TargetMode="External"/><Relationship Id="rId17" Type="http://schemas.openxmlformats.org/officeDocument/2006/relationships/hyperlink" Target="http://www.meade.com/autostar/lpi.html" TargetMode="External"/><Relationship Id="rId25" Type="http://schemas.openxmlformats.org/officeDocument/2006/relationships/hyperlink" Target="http://www.atik-instruments.com/" TargetMode="External"/><Relationship Id="rId33" Type="http://schemas.openxmlformats.org/officeDocument/2006/relationships/hyperlink" Target="http://tienda.lunatico.es/lunatico/manuales/luna-qhy5.pdf" TargetMode="External"/><Relationship Id="rId38" Type="http://schemas.openxmlformats.org/officeDocument/2006/relationships/hyperlink" Target="http://www.teleskop-service.se/en/atik/start/atikstart.html" TargetMode="External"/><Relationship Id="rId46" Type="http://schemas.openxmlformats.org/officeDocument/2006/relationships/hyperlink" Target="http://s1.archive.theimagingsource.com/publications/sensors-ccd/icx204al/bfda706b08166d3939c112d220215c40/icx204al.en_US.pdf" TargetMode="External"/><Relationship Id="rId59" Type="http://schemas.openxmlformats.org/officeDocument/2006/relationships/hyperlink" Target="https://es.wikipedia.org/wiki/Canon_EOS_450D" TargetMode="External"/><Relationship Id="rId67" Type="http://schemas.openxmlformats.org/officeDocument/2006/relationships/hyperlink" Target="https://www.telescopiomania.com/camaras-de-un-unico-ccd/10403-camara-cmos-zwo-asi678mc-color-748305559471.html" TargetMode="External"/><Relationship Id="rId20" Type="http://schemas.openxmlformats.org/officeDocument/2006/relationships/hyperlink" Target="http://www.artemisccd.co.uk/icx285c.htm" TargetMode="External"/><Relationship Id="rId41" Type="http://schemas.openxmlformats.org/officeDocument/2006/relationships/hyperlink" Target="http://www.starlight-xpress.co.uk/Handbooks/SXVR-H18%20handbook.pdf" TargetMode="External"/><Relationship Id="rId54" Type="http://schemas.openxmlformats.org/officeDocument/2006/relationships/hyperlink" Target="http://astronomy-imaging-camera.com/products/usb-3-0/asi224mc/" TargetMode="External"/><Relationship Id="rId62" Type="http://schemas.openxmlformats.org/officeDocument/2006/relationships/hyperlink" Target="https://www.zwoastro.com/product/asi662mc/" TargetMode="External"/><Relationship Id="rId70" Type="http://schemas.openxmlformats.org/officeDocument/2006/relationships/drawing" Target="../drawings/drawing3.xml"/><Relationship Id="rId1" Type="http://schemas.openxmlformats.org/officeDocument/2006/relationships/hyperlink" Target="http://www.megapixel.net/cgi-bin/fs_loader.pl?p=http%3A//www.megapixel.net/reviews/ricoh-rdc4200/rdc4200-review.html" TargetMode="External"/><Relationship Id="rId6" Type="http://schemas.openxmlformats.org/officeDocument/2006/relationships/hyperlink" Target="http://www.logitech.com/index.cfm/products/details/US/EN,CRID=4,CONTENTID=5042" TargetMode="External"/><Relationship Id="rId15" Type="http://schemas.openxmlformats.org/officeDocument/2006/relationships/hyperlink" Target="http://www.quesabesde.com/camdig/productos/cam751g.asp" TargetMode="External"/><Relationship Id="rId23" Type="http://schemas.openxmlformats.org/officeDocument/2006/relationships/hyperlink" Target="http://www.olympus.es/consumer/dslr_E-330.htm" TargetMode="External"/><Relationship Id="rId28" Type="http://schemas.openxmlformats.org/officeDocument/2006/relationships/hyperlink" Target="http://www.sbig.com/sbwhtmls/ST7ME.htm" TargetMode="External"/><Relationship Id="rId36" Type="http://schemas.openxmlformats.org/officeDocument/2006/relationships/hyperlink" Target="http://www.atik-usa.com/atik383l.html" TargetMode="External"/><Relationship Id="rId49" Type="http://schemas.openxmlformats.org/officeDocument/2006/relationships/hyperlink" Target="http://s1.archive.theimagingsource.com/publications/sensors-ccd/icx205al/0eeddde64522190fb3cd90" TargetMode="External"/><Relationship Id="rId57" Type="http://schemas.openxmlformats.org/officeDocument/2006/relationships/hyperlink" Target="https://www.highpointscientific.com/zwo-asi174mm-usb-3-monochrome-cmos-camera" TargetMode="External"/><Relationship Id="rId10" Type="http://schemas.openxmlformats.org/officeDocument/2006/relationships/hyperlink" Target="http://www.digit-life.com/articles/lumixdmclc5/" TargetMode="External"/><Relationship Id="rId31" Type="http://schemas.openxmlformats.org/officeDocument/2006/relationships/hyperlink" Target="http://www.kodak.com/global/en/business/ISS/Products/Fullframe/" TargetMode="External"/><Relationship Id="rId44" Type="http://schemas.openxmlformats.org/officeDocument/2006/relationships/hyperlink" Target="http://www.unibrain.com/download/pdfs/Fire-i_Board_Cams/ICX098BQ.pdf" TargetMode="External"/><Relationship Id="rId52" Type="http://schemas.openxmlformats.org/officeDocument/2006/relationships/hyperlink" Target="http://archive.sbig.com/sbwhtmls/ST8XME.htm" TargetMode="External"/><Relationship Id="rId60" Type="http://schemas.openxmlformats.org/officeDocument/2006/relationships/hyperlink" Target="https://astronomy-imaging-camera.com/product/asi294mm-pro" TargetMode="External"/><Relationship Id="rId65" Type="http://schemas.openxmlformats.org/officeDocument/2006/relationships/hyperlink" Target="https://www.astrocity.es/camaras-zwo-asi/1829-camara-asi-462-mc-color-zwo.html" TargetMode="External"/><Relationship Id="rId4" Type="http://schemas.openxmlformats.org/officeDocument/2006/relationships/hyperlink" Target="http://www.leadbeaterhome.fsnet.co.uk/1004xcam1.htm" TargetMode="External"/><Relationship Id="rId9" Type="http://schemas.openxmlformats.org/officeDocument/2006/relationships/hyperlink" Target="http://www.starlight-xpress.co.uk/SXV-M8C.htm" TargetMode="External"/><Relationship Id="rId13" Type="http://schemas.openxmlformats.org/officeDocument/2006/relationships/hyperlink" Target="http://www.starlight-xpress.co.uk/SXV-H9.htm" TargetMode="External"/><Relationship Id="rId18" Type="http://schemas.openxmlformats.org/officeDocument/2006/relationships/hyperlink" Target="http://es.redcoon.com/redcoon/urwfilter/product/do/action/getProductDetail/product/24398/index.html;jsessionid=90304c84dcdb$3F$CA$2" TargetMode="External"/><Relationship Id="rId39" Type="http://schemas.openxmlformats.org/officeDocument/2006/relationships/hyperlink" Target="http://www.starlight-xpress.co.uk/SXV-M25.htm" TargetMode="External"/><Relationship Id="rId34" Type="http://schemas.openxmlformats.org/officeDocument/2006/relationships/hyperlink" Target="http://tienda.lunatico.es/epages/Store.sf/?ObjectPath=/Shops/Store.Lunatico/Products/CAM901" TargetMode="External"/><Relationship Id="rId50" Type="http://schemas.openxmlformats.org/officeDocument/2006/relationships/hyperlink" Target="http://tienda.lunatico.es/Luna-QHY-5L-II-Mono-camara-con-accesorios" TargetMode="External"/><Relationship Id="rId55" Type="http://schemas.openxmlformats.org/officeDocument/2006/relationships/hyperlink" Target="http://www.qhyccd.com/QHY5P-II.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transitionEntry="1" codeName="Hoja1">
    <pageSetUpPr autoPageBreaks="0"/>
  </sheetPr>
  <dimension ref="B1:AD76"/>
  <sheetViews>
    <sheetView showGridLines="0" showRowColHeaders="0" tabSelected="1" showRuler="0" showOutlineSymbols="0" zoomScale="150" zoomScaleNormal="150" zoomScaleSheetLayoutView="100" workbookViewId="0">
      <selection activeCell="B4" sqref="B4:N57"/>
    </sheetView>
  </sheetViews>
  <sheetFormatPr baseColWidth="10" defaultColWidth="11.5546875" defaultRowHeight="15.75"/>
  <cols>
    <col min="1" max="1" width="13.77734375" style="100" customWidth="1"/>
    <col min="2" max="2" width="0.88671875" style="102" customWidth="1"/>
    <col min="3" max="3" width="10.77734375" style="103" customWidth="1"/>
    <col min="4" max="5" width="3.109375" style="103" customWidth="1"/>
    <col min="6" max="6" width="3.6640625" style="103" customWidth="1"/>
    <col min="7" max="14" width="4.77734375" style="103" customWidth="1"/>
    <col min="15" max="15" width="0.88671875" style="103" customWidth="1"/>
    <col min="16" max="16" width="8.33203125" style="101" customWidth="1"/>
    <col min="17" max="17" width="3.77734375" style="101" customWidth="1"/>
    <col min="18" max="18" width="6.33203125" style="101" customWidth="1"/>
    <col min="19" max="21" width="3.33203125" style="101" customWidth="1"/>
    <col min="22" max="22" width="3.77734375" style="101" customWidth="1"/>
    <col min="23" max="23" width="4.77734375" style="101" customWidth="1"/>
    <col min="24" max="24" width="6.77734375" style="101" customWidth="1"/>
    <col min="25" max="25" width="0.88671875" style="99" customWidth="1"/>
    <col min="26" max="26" width="10.44140625" style="100" hidden="1" customWidth="1"/>
    <col min="27" max="27" width="3.88671875" style="100" customWidth="1"/>
    <col min="28" max="28" width="7.77734375" style="100" customWidth="1"/>
    <col min="29" max="30" width="12.77734375" style="100" customWidth="1"/>
    <col min="31" max="16384" width="11.5546875" style="100"/>
  </cols>
  <sheetData>
    <row r="1" spans="2:29" ht="5.25" customHeight="1" thickBot="1">
      <c r="C1" s="196"/>
      <c r="D1" s="196"/>
      <c r="E1" s="196"/>
      <c r="F1" s="196"/>
      <c r="G1" s="196"/>
      <c r="H1" s="196"/>
      <c r="I1" s="196"/>
      <c r="J1" s="196"/>
      <c r="K1" s="196"/>
      <c r="L1" s="196"/>
      <c r="M1" s="196"/>
      <c r="N1" s="196"/>
      <c r="O1" s="196"/>
      <c r="P1" s="197"/>
      <c r="Q1" s="197"/>
      <c r="R1" s="197"/>
      <c r="S1" s="644"/>
      <c r="T1" s="522"/>
      <c r="U1" s="197"/>
      <c r="V1" s="197"/>
      <c r="W1" s="197"/>
      <c r="X1" s="197"/>
    </row>
    <row r="2" spans="2:29" s="481" customFormat="1" ht="15" customHeight="1" thickTop="1">
      <c r="B2" s="479"/>
      <c r="C2" s="679" t="s">
        <v>348</v>
      </c>
      <c r="D2" s="680"/>
      <c r="E2" s="680"/>
      <c r="F2" s="680"/>
      <c r="G2" s="680"/>
      <c r="H2" s="680"/>
      <c r="I2" s="680"/>
      <c r="J2" s="680"/>
      <c r="K2" s="680"/>
      <c r="L2" s="680"/>
      <c r="M2" s="680"/>
      <c r="N2" s="680"/>
      <c r="O2" s="680"/>
      <c r="P2" s="680"/>
      <c r="Q2" s="680"/>
      <c r="R2" s="680"/>
      <c r="S2" s="680"/>
      <c r="T2" s="680"/>
      <c r="U2" s="680"/>
      <c r="V2" s="680"/>
      <c r="W2" s="680"/>
      <c r="X2" s="681"/>
      <c r="Y2" s="480"/>
    </row>
    <row r="3" spans="2:29" s="481" customFormat="1" ht="15" customHeight="1" thickBot="1">
      <c r="B3" s="482"/>
      <c r="C3" s="677" t="s">
        <v>351</v>
      </c>
      <c r="D3" s="678"/>
      <c r="E3" s="678"/>
      <c r="F3" s="678"/>
      <c r="G3" s="678"/>
      <c r="H3" s="678"/>
      <c r="I3" s="678"/>
      <c r="J3" s="678"/>
      <c r="K3" s="678"/>
      <c r="L3" s="678"/>
      <c r="M3" s="678"/>
      <c r="N3" s="678"/>
      <c r="O3" s="678"/>
      <c r="P3" s="678"/>
      <c r="Q3" s="678"/>
      <c r="R3" s="678"/>
      <c r="S3" s="678"/>
      <c r="T3" s="678"/>
      <c r="U3" s="678"/>
      <c r="V3" s="678"/>
      <c r="W3" s="678"/>
      <c r="X3" s="483" t="s">
        <v>284</v>
      </c>
      <c r="Y3" s="482"/>
    </row>
    <row r="4" spans="2:29" s="202" customFormat="1" ht="20.100000000000001" customHeight="1" thickBot="1">
      <c r="B4" s="201"/>
      <c r="C4" s="654" t="s">
        <v>187</v>
      </c>
      <c r="D4" s="655"/>
      <c r="E4" s="655"/>
      <c r="F4" s="655"/>
      <c r="G4" s="655"/>
      <c r="H4" s="655"/>
      <c r="I4" s="655"/>
      <c r="J4" s="655"/>
      <c r="K4" s="655"/>
      <c r="L4" s="655"/>
      <c r="M4" s="655"/>
      <c r="N4" s="655"/>
      <c r="O4" s="308"/>
      <c r="P4" s="656" t="s">
        <v>276</v>
      </c>
      <c r="Q4" s="656"/>
      <c r="R4" s="657"/>
      <c r="S4" s="657"/>
      <c r="T4" s="657"/>
      <c r="U4" s="657"/>
      <c r="V4" s="657"/>
      <c r="W4" s="657"/>
      <c r="X4" s="657"/>
      <c r="Y4" s="201"/>
    </row>
    <row r="5" spans="2:29" s="198" customFormat="1" ht="15" customHeight="1" thickBot="1">
      <c r="B5" s="423"/>
      <c r="C5" s="293" t="s">
        <v>95</v>
      </c>
      <c r="D5" s="669" t="s">
        <v>247</v>
      </c>
      <c r="E5" s="670"/>
      <c r="F5" s="671"/>
      <c r="G5" s="639" t="s">
        <v>248</v>
      </c>
      <c r="H5" s="640"/>
      <c r="I5" s="640"/>
      <c r="J5" s="640"/>
      <c r="K5" s="640"/>
      <c r="L5" s="640"/>
      <c r="M5" s="640"/>
      <c r="N5" s="640"/>
      <c r="O5" s="424"/>
      <c r="P5" s="691" t="s">
        <v>338</v>
      </c>
      <c r="Q5" s="692"/>
      <c r="R5" s="693"/>
      <c r="S5" s="693"/>
      <c r="T5" s="693"/>
      <c r="U5" s="693"/>
      <c r="V5" s="693"/>
      <c r="W5" s="667" t="s">
        <v>264</v>
      </c>
      <c r="X5" s="668"/>
      <c r="Y5" s="423"/>
    </row>
    <row r="6" spans="2:29" s="198" customFormat="1" ht="15" customHeight="1">
      <c r="B6" s="423"/>
      <c r="C6" s="645" t="s">
        <v>35</v>
      </c>
      <c r="D6" s="658" t="s">
        <v>220</v>
      </c>
      <c r="E6" s="659"/>
      <c r="F6" s="660"/>
      <c r="G6" s="664">
        <f>$I$7/25.4</f>
        <v>8</v>
      </c>
      <c r="H6" s="665"/>
      <c r="I6" s="665"/>
      <c r="J6" s="666"/>
      <c r="K6" s="648">
        <f>$K$7/25.4</f>
        <v>8</v>
      </c>
      <c r="L6" s="649"/>
      <c r="M6" s="649"/>
      <c r="N6" s="648"/>
      <c r="O6" s="425"/>
      <c r="P6" s="682" t="s">
        <v>337</v>
      </c>
      <c r="Q6" s="683"/>
      <c r="R6" s="684"/>
      <c r="S6" s="684"/>
      <c r="T6" s="684"/>
      <c r="U6" s="684"/>
      <c r="V6" s="684"/>
      <c r="W6" s="459" t="s">
        <v>207</v>
      </c>
      <c r="X6" s="460">
        <f>$G$31</f>
        <v>21.231018366691643</v>
      </c>
      <c r="Y6" s="423"/>
    </row>
    <row r="7" spans="2:29" s="198" customFormat="1" ht="15" customHeight="1">
      <c r="B7" s="423"/>
      <c r="C7" s="646"/>
      <c r="D7" s="661"/>
      <c r="E7" s="662"/>
      <c r="F7" s="663"/>
      <c r="G7" s="728">
        <v>8</v>
      </c>
      <c r="H7" s="729"/>
      <c r="I7" s="730">
        <f>25.4*G7</f>
        <v>203.2</v>
      </c>
      <c r="J7" s="731"/>
      <c r="K7" s="674">
        <f>I7</f>
        <v>203.2</v>
      </c>
      <c r="L7" s="675"/>
      <c r="M7" s="675"/>
      <c r="N7" s="676"/>
      <c r="O7" s="425"/>
      <c r="P7" s="694" t="s">
        <v>357</v>
      </c>
      <c r="Q7" s="695"/>
      <c r="R7" s="696" t="str">
        <f>IF($P$7="OTRO",'CONFIG.'!$K$70,IF($P$7="MARTE","",IF(P7="VENUS","retrógrado",(IF($P$7="SUNSPOTS",'CONFIG.'!$K$21,IF($P$7="SATURNO","",IF($P$7="JUPITER","",IF($P$7="LUNA",'CONFIG.'!$F$29,IF($P$7="DEEP SKY",'CONFIG.'!$K$62,IF($P$7="",'CONFIG.'!#REF!))))))))))</f>
        <v>AR2585</v>
      </c>
      <c r="S7" s="697"/>
      <c r="T7" s="697"/>
      <c r="U7" s="697"/>
      <c r="V7" s="698"/>
      <c r="W7" s="672">
        <f>IF(P7="VENUS",'CONFIG.'!M37,IF(P7="OTRO",'CONFIG.'!M70,IF(P7="MARTE",'CONFIG.'!M43,IF(P7="SUNSPOTS",'CONFIG.'!M21,IF(P7="LUNA",'CONFIG.'!M29,IF(P7="SATURNO",'CONFIG.'!M55,IF(P7="JUPITER",'CONFIG.'!M49,IF(P7="DEEP SKY",'CONFIG.'!M62))))))))</f>
        <v>-26.7</v>
      </c>
      <c r="X7" s="673"/>
      <c r="Y7" s="426"/>
    </row>
    <row r="8" spans="2:29" s="198" customFormat="1" ht="15" customHeight="1" thickBot="1">
      <c r="B8" s="423"/>
      <c r="C8" s="647"/>
      <c r="D8" s="748" t="s">
        <v>343</v>
      </c>
      <c r="E8" s="749"/>
      <c r="F8" s="750"/>
      <c r="G8" s="756">
        <v>10</v>
      </c>
      <c r="H8" s="757"/>
      <c r="I8" s="758">
        <f>I7*G8</f>
        <v>2032</v>
      </c>
      <c r="J8" s="759"/>
      <c r="K8" s="674">
        <f>I8</f>
        <v>2032</v>
      </c>
      <c r="L8" s="675"/>
      <c r="M8" s="675"/>
      <c r="N8" s="676"/>
      <c r="O8" s="425"/>
      <c r="P8" s="735" t="str">
        <f>IF(P7="LUNA",'CONFIG.'!$G$29,"")</f>
        <v/>
      </c>
      <c r="Q8" s="547"/>
      <c r="R8" s="699" t="str">
        <f>IF(P7="LUNA",'CONFIG.'!$K$29,"")</f>
        <v/>
      </c>
      <c r="S8" s="700"/>
      <c r="T8" s="700"/>
      <c r="U8" s="700"/>
      <c r="V8" s="701"/>
      <c r="W8" s="715" t="str">
        <f>IF(P7="MARTE",'CONFIG.'!$G$43,IF(P7="OTRO",'CONFIG.'!$F$70,IF(P7="SATURNO",'CONFIG.'!$G$55,IF(P7="JUPITER",'CONFIG.'!$G$49,IF(P7="DEEP SKY",SQRT('CONFIG.'!$F$62^2+'CONFIG.'!$G$62^2),IF(P7="VENUS",'CONFIG.'!$G$37,""))))))</f>
        <v/>
      </c>
      <c r="X8" s="716"/>
      <c r="Y8" s="427"/>
    </row>
    <row r="9" spans="2:29" ht="15" customHeight="1" thickBot="1">
      <c r="B9" s="104"/>
      <c r="C9" s="641" t="s">
        <v>206</v>
      </c>
      <c r="D9" s="642"/>
      <c r="E9" s="642"/>
      <c r="F9" s="642"/>
      <c r="G9" s="642"/>
      <c r="H9" s="642"/>
      <c r="I9" s="642"/>
      <c r="J9" s="642"/>
      <c r="K9" s="642"/>
      <c r="L9" s="642"/>
      <c r="M9" s="642"/>
      <c r="N9" s="642"/>
      <c r="O9" s="343"/>
      <c r="P9" s="702">
        <f>IF($P$7="OTRO",'CONFIG.'!$E$74,IF($P$7="MARTE",'CONFIG.'!$E$46,IF($P$7="SUNSPOTS",'CONFIG.'!$E$26,IF($P$7="LUNA",'CONFIG.'!$E$32,IF(P7="SATURNO",'CONFIG.'!E58,IF(P7="JUPITER",'CONFIG.'!E52,IF(P7="DEEP SKY",'CONFIG.'!$E$66,IF(P7="VENUS",'CONFIG.'!E40))))))))</f>
        <v>1903.054117844795</v>
      </c>
      <c r="Q9" s="703"/>
      <c r="R9" s="704">
        <f>IF($P$7="OTRO",'CONFIG.'!$G$72,IF($P$7="MARTE",'CONFIG.'!$F$44,IF($P$7="LUNA",'CONFIG.'!$F$30,IF($P$7="SUNSPOTS",'CONFIG.'!$H$24,IF($P$7="SATURNO",'CONFIG.'!$F$56,IF($P$7="JUPITER",'CONFIG.'!$F$50,IF($P$7="DEEP SKY",IF('CONFIG.'!E64&gt;0,'CONFIG.'!G64,IF($P$7="DEEP SKY",IF('CONFIG.'!F64&gt;0,'CONFIG.'!K64,IF($P$7="VENUS",'CONFIG.'!$F$38)))))))))))</f>
        <v>150869452.59086499</v>
      </c>
      <c r="S9" s="705"/>
      <c r="T9" s="705"/>
      <c r="U9" s="705"/>
      <c r="V9" s="706"/>
      <c r="W9" s="713">
        <f>IF($P$7="OTRO",'CONFIG.'!$P$70,IF($P$7="MARTE",'CONFIG.'!$P$43,IF($P$7="LUNA",'CONFIG.'!$P$29,IF($P$7="SUNSPOTS",'CONFIG.'!$P$21,IF($P$7="SATURNO",'CONFIG.'!$P$55,IF($P$7="JUPITER",'CONFIG.'!$P$49,IF($P$7="DEEP SKY",'CONFIG.'!$P$62,IF($P$7="",'CONFIG.'!#REF!,IF($P$7="VENUS",'CONFIG.'!$P$37)))))))))</f>
        <v>41154</v>
      </c>
      <c r="X9" s="714"/>
      <c r="Y9" s="104"/>
    </row>
    <row r="10" spans="2:29" s="198" customFormat="1" ht="15" customHeight="1" thickBot="1">
      <c r="B10" s="200"/>
      <c r="C10" s="650" t="s">
        <v>145</v>
      </c>
      <c r="D10" s="651"/>
      <c r="E10" s="651"/>
      <c r="F10" s="651"/>
      <c r="G10" s="717" t="s">
        <v>352</v>
      </c>
      <c r="H10" s="718"/>
      <c r="I10" s="718"/>
      <c r="J10" s="719"/>
      <c r="K10" s="685" t="str">
        <f>IF($I$43="FP","con CCD en FOCO PRIMARIO  (FP)","con CCD en PROYECCIÓN de OCULAR  (PO)")</f>
        <v>con CCD en FOCO PRIMARIO  (FP)</v>
      </c>
      <c r="L10" s="686"/>
      <c r="M10" s="686"/>
      <c r="N10" s="687"/>
      <c r="O10" s="415"/>
      <c r="P10" s="723" t="s">
        <v>303</v>
      </c>
      <c r="Q10" s="724"/>
      <c r="R10" s="725"/>
      <c r="S10" s="725"/>
      <c r="T10" s="725"/>
      <c r="U10" s="725"/>
      <c r="V10" s="725"/>
      <c r="W10" s="726"/>
      <c r="X10" s="351">
        <v>7.5</v>
      </c>
      <c r="Y10" s="416"/>
      <c r="AA10" s="525"/>
      <c r="AB10" s="526"/>
      <c r="AC10" s="526"/>
    </row>
    <row r="11" spans="2:29" s="198" customFormat="1" ht="15" customHeight="1" thickBot="1">
      <c r="B11" s="200"/>
      <c r="C11" s="652"/>
      <c r="D11" s="653"/>
      <c r="E11" s="653"/>
      <c r="F11" s="653"/>
      <c r="G11" s="720"/>
      <c r="H11" s="721"/>
      <c r="I11" s="721"/>
      <c r="J11" s="722"/>
      <c r="K11" s="688"/>
      <c r="L11" s="689"/>
      <c r="M11" s="689"/>
      <c r="N11" s="690"/>
      <c r="O11" s="415"/>
      <c r="P11" s="417"/>
      <c r="Q11" s="458"/>
      <c r="R11" s="418"/>
      <c r="S11" s="418"/>
      <c r="T11" s="418"/>
      <c r="U11" s="418"/>
      <c r="V11" s="418"/>
      <c r="W11" s="418"/>
      <c r="X11" s="419"/>
      <c r="Y11" s="420"/>
    </row>
    <row r="12" spans="2:29" ht="15" customHeight="1" thickBot="1">
      <c r="B12" s="105"/>
      <c r="C12" s="312"/>
      <c r="D12" s="313"/>
      <c r="E12" s="313"/>
      <c r="F12" s="313"/>
      <c r="G12" s="727" t="s">
        <v>298</v>
      </c>
      <c r="H12" s="620"/>
      <c r="I12" s="620"/>
      <c r="J12" s="620"/>
      <c r="K12" s="620"/>
      <c r="L12" s="620"/>
      <c r="M12" s="620"/>
      <c r="N12" s="620"/>
      <c r="O12" s="318"/>
      <c r="P12" s="710" t="s">
        <v>309</v>
      </c>
      <c r="Q12" s="711"/>
      <c r="R12" s="711"/>
      <c r="S12" s="711"/>
      <c r="T12" s="711"/>
      <c r="U12" s="711"/>
      <c r="V12" s="711"/>
      <c r="W12" s="711"/>
      <c r="X12" s="712"/>
      <c r="Y12" s="107"/>
    </row>
    <row r="13" spans="2:29" ht="15" customHeight="1">
      <c r="B13" s="105"/>
      <c r="C13" s="529" t="s">
        <v>36</v>
      </c>
      <c r="D13" s="530"/>
      <c r="E13" s="530"/>
      <c r="F13" s="531"/>
      <c r="G13" s="739">
        <f>IF($G$20=0,"df Ocular ?",$G$23/$I$7)</f>
        <v>20</v>
      </c>
      <c r="H13" s="740"/>
      <c r="I13" s="740"/>
      <c r="J13" s="741"/>
      <c r="K13" s="752">
        <f>$K$23/$K$7</f>
        <v>20</v>
      </c>
      <c r="L13" s="753"/>
      <c r="M13" s="753"/>
      <c r="N13" s="752"/>
      <c r="O13" s="319"/>
      <c r="P13" s="710"/>
      <c r="Q13" s="711"/>
      <c r="R13" s="711"/>
      <c r="S13" s="711"/>
      <c r="T13" s="711"/>
      <c r="U13" s="711"/>
      <c r="V13" s="711"/>
      <c r="W13" s="711"/>
      <c r="X13" s="712"/>
      <c r="Y13" s="108"/>
    </row>
    <row r="14" spans="2:29" ht="15" customHeight="1">
      <c r="B14" s="105"/>
      <c r="C14" s="754" t="s">
        <v>0</v>
      </c>
      <c r="D14" s="755"/>
      <c r="E14" s="755"/>
      <c r="F14" s="755"/>
      <c r="G14" s="643">
        <f>115.908/$I$7</f>
        <v>0.5704133858267717</v>
      </c>
      <c r="H14" s="615"/>
      <c r="I14" s="615"/>
      <c r="J14" s="616"/>
      <c r="K14" s="745">
        <f>206265*$D$40/10^3/$K$23</f>
        <v>0.19032818651574804</v>
      </c>
      <c r="L14" s="746"/>
      <c r="M14" s="746"/>
      <c r="N14" s="747"/>
      <c r="O14" s="320"/>
      <c r="P14" s="710"/>
      <c r="Q14" s="711"/>
      <c r="R14" s="711"/>
      <c r="S14" s="711"/>
      <c r="T14" s="711"/>
      <c r="U14" s="711"/>
      <c r="V14" s="711"/>
      <c r="W14" s="711"/>
      <c r="X14" s="712"/>
      <c r="Y14" s="109"/>
    </row>
    <row r="15" spans="2:29" ht="15" customHeight="1">
      <c r="B15" s="105"/>
      <c r="C15" s="527" t="s">
        <v>229</v>
      </c>
      <c r="D15" s="528"/>
      <c r="E15" s="528"/>
      <c r="F15" s="528"/>
      <c r="G15" s="742">
        <f>((304.8/$G$7*5.81/G13*9/$D$40)*10/$X$10)*3.028112449</f>
        <v>107.24895997169425</v>
      </c>
      <c r="H15" s="743"/>
      <c r="I15" s="743"/>
      <c r="J15" s="744"/>
      <c r="K15" s="736">
        <f>(($D$40*10^-3/$K$7)*206265/$X$10*$M$40)*1.25</f>
        <v>3.8065637303149606</v>
      </c>
      <c r="L15" s="737"/>
      <c r="M15" s="737"/>
      <c r="N15" s="738"/>
      <c r="O15" s="320"/>
      <c r="P15" s="710"/>
      <c r="Q15" s="711"/>
      <c r="R15" s="711"/>
      <c r="S15" s="711"/>
      <c r="T15" s="711"/>
      <c r="U15" s="711"/>
      <c r="V15" s="711"/>
      <c r="W15" s="711"/>
      <c r="X15" s="712"/>
      <c r="Y15" s="109"/>
    </row>
    <row r="16" spans="2:29" ht="15" customHeight="1" thickBot="1">
      <c r="B16" s="105"/>
      <c r="C16" s="751" t="s">
        <v>240</v>
      </c>
      <c r="D16" s="626"/>
      <c r="E16" s="626"/>
      <c r="F16" s="626"/>
      <c r="G16" s="732">
        <f>(1.22*546.7*10^(-9)*3.84*10^8/($G$7/10^3))</f>
        <v>32014.752</v>
      </c>
      <c r="H16" s="733"/>
      <c r="I16" s="733"/>
      <c r="J16" s="734"/>
      <c r="K16" s="707">
        <f>(1.22*546.7*10^(-9)*3.84*10^8/($K$7/10^3))</f>
        <v>1260.4233070866144</v>
      </c>
      <c r="L16" s="708"/>
      <c r="M16" s="708"/>
      <c r="N16" s="709"/>
      <c r="O16" s="321"/>
      <c r="P16" s="710"/>
      <c r="Q16" s="711"/>
      <c r="R16" s="711"/>
      <c r="S16" s="711"/>
      <c r="T16" s="711"/>
      <c r="U16" s="711"/>
      <c r="V16" s="711"/>
      <c r="W16" s="711"/>
      <c r="X16" s="712"/>
      <c r="Y16" s="109"/>
    </row>
    <row r="17" spans="2:25" ht="15" customHeight="1" thickBot="1">
      <c r="B17" s="105"/>
      <c r="C17" s="762" t="s">
        <v>187</v>
      </c>
      <c r="D17" s="642"/>
      <c r="E17" s="642"/>
      <c r="F17" s="642"/>
      <c r="G17" s="642"/>
      <c r="H17" s="642"/>
      <c r="I17" s="642"/>
      <c r="J17" s="642"/>
      <c r="K17" s="642"/>
      <c r="L17" s="642"/>
      <c r="M17" s="642"/>
      <c r="N17" s="642"/>
      <c r="O17" s="342"/>
      <c r="P17" s="710"/>
      <c r="Q17" s="711"/>
      <c r="R17" s="711"/>
      <c r="S17" s="711"/>
      <c r="T17" s="711"/>
      <c r="U17" s="711"/>
      <c r="V17" s="711"/>
      <c r="W17" s="711"/>
      <c r="X17" s="712"/>
      <c r="Y17" s="109"/>
    </row>
    <row r="18" spans="2:25" ht="15" customHeight="1">
      <c r="B18" s="105"/>
      <c r="C18" s="760" t="s">
        <v>290</v>
      </c>
      <c r="D18" s="769" t="s">
        <v>183</v>
      </c>
      <c r="E18" s="530"/>
      <c r="F18" s="770"/>
      <c r="G18" s="771">
        <v>0</v>
      </c>
      <c r="H18" s="772"/>
      <c r="I18" s="772"/>
      <c r="J18" s="773"/>
      <c r="K18" s="763" t="str">
        <f>IF(P7="DEEP SKY",6.3,IF(G19&gt;0,"-",IF(I43="po","-",G18)))</f>
        <v>-</v>
      </c>
      <c r="L18" s="764"/>
      <c r="M18" s="764"/>
      <c r="N18" s="765"/>
      <c r="O18" s="322"/>
      <c r="P18" s="406"/>
      <c r="Q18" s="407"/>
      <c r="R18" s="407"/>
      <c r="S18" s="407"/>
      <c r="T18" s="407"/>
      <c r="U18" s="407"/>
      <c r="V18" s="407"/>
      <c r="W18" s="407"/>
      <c r="X18" s="408"/>
      <c r="Y18" s="109"/>
    </row>
    <row r="19" spans="2:25" ht="15" customHeight="1">
      <c r="B19" s="105"/>
      <c r="C19" s="761"/>
      <c r="D19" s="766" t="s">
        <v>346</v>
      </c>
      <c r="E19" s="767"/>
      <c r="F19" s="768"/>
      <c r="G19" s="507">
        <v>2</v>
      </c>
      <c r="H19" s="563">
        <f>G19*5</f>
        <v>10</v>
      </c>
      <c r="I19" s="564"/>
      <c r="J19" s="565"/>
      <c r="K19" s="508">
        <f>IF($K$18&gt;0,"-",IF(I43="PO","-",$G$19))</f>
        <v>2</v>
      </c>
      <c r="L19" s="566">
        <f>K19*5</f>
        <v>10</v>
      </c>
      <c r="M19" s="567"/>
      <c r="N19" s="568"/>
      <c r="O19" s="323"/>
      <c r="P19" s="538" t="s">
        <v>302</v>
      </c>
      <c r="Q19" s="539"/>
      <c r="R19" s="540"/>
      <c r="S19" s="540"/>
      <c r="T19" s="540"/>
      <c r="U19" s="540"/>
      <c r="V19" s="540"/>
      <c r="W19" s="540"/>
      <c r="X19" s="541"/>
      <c r="Y19" s="109"/>
    </row>
    <row r="20" spans="2:25" ht="15" customHeight="1">
      <c r="B20" s="105"/>
      <c r="C20" s="527" t="s">
        <v>37</v>
      </c>
      <c r="D20" s="370" t="s">
        <v>38</v>
      </c>
      <c r="E20" s="543" t="s">
        <v>314</v>
      </c>
      <c r="F20" s="543"/>
      <c r="G20" s="546">
        <v>30</v>
      </c>
      <c r="H20" s="547"/>
      <c r="I20" s="544">
        <v>12.5</v>
      </c>
      <c r="J20" s="545"/>
      <c r="K20" s="560">
        <f>IF($I$43="PO",$I$20,$G$20)</f>
        <v>30</v>
      </c>
      <c r="L20" s="561"/>
      <c r="M20" s="561"/>
      <c r="N20" s="562"/>
      <c r="O20" s="324"/>
      <c r="P20" s="542"/>
      <c r="Q20" s="540"/>
      <c r="R20" s="540"/>
      <c r="S20" s="540"/>
      <c r="T20" s="540"/>
      <c r="U20" s="540"/>
      <c r="V20" s="540"/>
      <c r="W20" s="540"/>
      <c r="X20" s="541"/>
      <c r="Y20" s="109"/>
    </row>
    <row r="21" spans="2:25" ht="15" customHeight="1">
      <c r="B21" s="105"/>
      <c r="C21" s="556"/>
      <c r="D21" s="532" t="s">
        <v>83</v>
      </c>
      <c r="E21" s="533"/>
      <c r="F21" s="534"/>
      <c r="G21" s="550">
        <v>52</v>
      </c>
      <c r="H21" s="551"/>
      <c r="I21" s="551"/>
      <c r="J21" s="552"/>
      <c r="K21" s="553">
        <f>G21</f>
        <v>52</v>
      </c>
      <c r="L21" s="554"/>
      <c r="M21" s="554"/>
      <c r="N21" s="555"/>
      <c r="O21" s="325"/>
      <c r="P21" s="542"/>
      <c r="Q21" s="540"/>
      <c r="R21" s="540"/>
      <c r="S21" s="540"/>
      <c r="T21" s="540"/>
      <c r="U21" s="540"/>
      <c r="V21" s="540"/>
      <c r="W21" s="540"/>
      <c r="X21" s="541"/>
      <c r="Y21" s="109"/>
    </row>
    <row r="22" spans="2:25" ht="15" customHeight="1">
      <c r="B22" s="105"/>
      <c r="C22" s="535" t="s">
        <v>89</v>
      </c>
      <c r="D22" s="536"/>
      <c r="E22" s="536"/>
      <c r="F22" s="537"/>
      <c r="G22" s="383">
        <f>(IF($K$18&gt;0,$K$8*$K$18/10,IF($K$19&gt;0,$K$8*$K$19,$K$8)))</f>
        <v>4064</v>
      </c>
      <c r="H22" s="374" t="b">
        <f>IF($K$18&gt;0,$K$8*$K$18/10,IF($I$43="PO",$K$8*$I$22/$K$20))</f>
        <v>0</v>
      </c>
      <c r="I22" s="548">
        <v>52.7</v>
      </c>
      <c r="J22" s="549"/>
      <c r="K22" s="557" t="str">
        <f>IF($I$43="PO",$I$22,"-")</f>
        <v>-</v>
      </c>
      <c r="L22" s="557"/>
      <c r="M22" s="558"/>
      <c r="N22" s="559"/>
      <c r="O22" s="326"/>
      <c r="P22" s="406"/>
      <c r="Q22" s="407"/>
      <c r="R22" s="407"/>
      <c r="S22" s="407"/>
      <c r="T22" s="407"/>
      <c r="U22" s="407"/>
      <c r="V22" s="407"/>
      <c r="W22" s="407"/>
      <c r="X22" s="408"/>
      <c r="Y22" s="105"/>
    </row>
    <row r="23" spans="2:25" ht="15" customHeight="1">
      <c r="B23" s="105"/>
      <c r="C23" s="586" t="s">
        <v>241</v>
      </c>
      <c r="D23" s="587"/>
      <c r="E23" s="587"/>
      <c r="F23" s="588"/>
      <c r="G23" s="614">
        <f>IF($G$20=0,"?",IF($G$18&gt;0,$I$8*$G$18/10,IF($G$19&gt;0,$I$8*G19,$I$8)))</f>
        <v>4064</v>
      </c>
      <c r="H23" s="615"/>
      <c r="I23" s="615"/>
      <c r="J23" s="616"/>
      <c r="K23" s="993">
        <f>IF(I43="FP",$G$22,$H$22)</f>
        <v>4064</v>
      </c>
      <c r="L23" s="994"/>
      <c r="M23" s="994"/>
      <c r="N23" s="995"/>
      <c r="O23" s="327"/>
      <c r="P23" s="538" t="s">
        <v>300</v>
      </c>
      <c r="Q23" s="539"/>
      <c r="R23" s="540"/>
      <c r="S23" s="540"/>
      <c r="T23" s="540"/>
      <c r="U23" s="540"/>
      <c r="V23" s="540"/>
      <c r="W23" s="540"/>
      <c r="X23" s="541"/>
      <c r="Y23" s="105"/>
    </row>
    <row r="24" spans="2:25" ht="15" customHeight="1">
      <c r="B24" s="105"/>
      <c r="C24" s="623" t="s">
        <v>61</v>
      </c>
      <c r="D24" s="766" t="s">
        <v>44</v>
      </c>
      <c r="E24" s="767"/>
      <c r="F24" s="534"/>
      <c r="G24" s="579">
        <f>IF($G$20=0,"-",IF(($G$23/$G$20)&gt;$I$7*2.75,"Supera aumento",IF($G$20=0,"Ocular ?",$G$23/$G$20)))</f>
        <v>135.46666666666667</v>
      </c>
      <c r="H24" s="580"/>
      <c r="I24" s="580"/>
      <c r="J24" s="581"/>
      <c r="K24" s="777">
        <f>IF($I$43="PO","-",$G$22/$G$20)</f>
        <v>135.46666666666667</v>
      </c>
      <c r="L24" s="778"/>
      <c r="M24" s="778"/>
      <c r="N24" s="779"/>
      <c r="O24" s="318"/>
      <c r="P24" s="542"/>
      <c r="Q24" s="540"/>
      <c r="R24" s="540"/>
      <c r="S24" s="540"/>
      <c r="T24" s="540"/>
      <c r="U24" s="540"/>
      <c r="V24" s="540"/>
      <c r="W24" s="540"/>
      <c r="X24" s="541"/>
      <c r="Y24" s="105"/>
    </row>
    <row r="25" spans="2:25" ht="15" customHeight="1">
      <c r="B25" s="105"/>
      <c r="C25" s="624"/>
      <c r="D25" s="766" t="s">
        <v>146</v>
      </c>
      <c r="E25" s="767"/>
      <c r="F25" s="534"/>
      <c r="G25" s="1003" t="str">
        <f>IF($G$20=0,"Ocular df ?","")</f>
        <v/>
      </c>
      <c r="H25" s="615"/>
      <c r="I25" s="615"/>
      <c r="J25" s="616"/>
      <c r="K25" s="997">
        <f>IF(I43="PO",$K$23/$M$40,$G$22/$M$40)</f>
        <v>677.33333333333337</v>
      </c>
      <c r="L25" s="998"/>
      <c r="M25" s="998"/>
      <c r="N25" s="999"/>
      <c r="O25" s="328"/>
      <c r="P25" s="542"/>
      <c r="Q25" s="540"/>
      <c r="R25" s="540"/>
      <c r="S25" s="540"/>
      <c r="T25" s="540"/>
      <c r="U25" s="540"/>
      <c r="V25" s="540"/>
      <c r="W25" s="540"/>
      <c r="X25" s="541"/>
      <c r="Y25" s="105"/>
    </row>
    <row r="26" spans="2:25" ht="15" customHeight="1">
      <c r="B26" s="105"/>
      <c r="C26" s="800" t="s">
        <v>242</v>
      </c>
      <c r="D26" s="801"/>
      <c r="E26" s="801"/>
      <c r="F26" s="802"/>
      <c r="G26" s="1000">
        <f>IF($G$25="Ocular df ?","-",IF($G$20=0,"-",($G$7/$G$24)))</f>
        <v>5.905511811023622E-2</v>
      </c>
      <c r="H26" s="1001"/>
      <c r="I26" s="1001"/>
      <c r="J26" s="1002"/>
      <c r="K26" s="576">
        <f>IF($I$43="PO","-",$K$7/$K$24)</f>
        <v>1.5</v>
      </c>
      <c r="L26" s="577"/>
      <c r="M26" s="577"/>
      <c r="N26" s="578"/>
      <c r="O26" s="329"/>
      <c r="P26" s="406"/>
      <c r="Q26" s="407"/>
      <c r="R26" s="407"/>
      <c r="S26" s="407"/>
      <c r="T26" s="407"/>
      <c r="U26" s="407"/>
      <c r="V26" s="407"/>
      <c r="W26" s="407"/>
      <c r="X26" s="408"/>
      <c r="Y26" s="109"/>
    </row>
    <row r="27" spans="2:25" ht="15" customHeight="1">
      <c r="B27" s="105"/>
      <c r="C27" s="872" t="s">
        <v>339</v>
      </c>
      <c r="D27" s="873"/>
      <c r="E27" s="873"/>
      <c r="F27" s="874"/>
      <c r="G27" s="822">
        <f>$G$21/$G$24</f>
        <v>0.38385826771653542</v>
      </c>
      <c r="H27" s="823"/>
      <c r="I27" s="823"/>
      <c r="J27" s="824"/>
      <c r="K27" s="825">
        <f>IF($I$43="PO","-",$G$21/$K$24)</f>
        <v>0.38385826771653542</v>
      </c>
      <c r="L27" s="826"/>
      <c r="M27" s="826"/>
      <c r="N27" s="827"/>
      <c r="O27" s="330"/>
      <c r="P27" s="538" t="s">
        <v>310</v>
      </c>
      <c r="Q27" s="539"/>
      <c r="R27" s="540"/>
      <c r="S27" s="540"/>
      <c r="T27" s="540"/>
      <c r="U27" s="540"/>
      <c r="V27" s="540"/>
      <c r="W27" s="540"/>
      <c r="X27" s="541"/>
      <c r="Y27" s="109"/>
    </row>
    <row r="28" spans="2:25" ht="15.95" customHeight="1" thickBot="1">
      <c r="B28" s="105"/>
      <c r="C28" s="625" t="s">
        <v>228</v>
      </c>
      <c r="D28" s="626"/>
      <c r="E28" s="626"/>
      <c r="F28" s="626"/>
      <c r="G28" s="806"/>
      <c r="H28" s="807"/>
      <c r="I28" s="807"/>
      <c r="J28" s="808"/>
      <c r="K28" s="828">
        <f>206265/G22</f>
        <v>50.754183070866141</v>
      </c>
      <c r="L28" s="829"/>
      <c r="M28" s="829"/>
      <c r="N28" s="830"/>
      <c r="O28" s="330"/>
      <c r="P28" s="542"/>
      <c r="Q28" s="540"/>
      <c r="R28" s="540"/>
      <c r="S28" s="540"/>
      <c r="T28" s="540"/>
      <c r="U28" s="540"/>
      <c r="V28" s="540"/>
      <c r="W28" s="540"/>
      <c r="X28" s="541"/>
      <c r="Y28" s="109"/>
    </row>
    <row r="29" spans="2:25" ht="17.100000000000001" customHeight="1" thickBot="1">
      <c r="B29" s="105"/>
      <c r="C29" s="799" t="s">
        <v>219</v>
      </c>
      <c r="D29" s="603"/>
      <c r="E29" s="603"/>
      <c r="F29" s="603"/>
      <c r="G29" s="603"/>
      <c r="H29" s="603"/>
      <c r="I29" s="603"/>
      <c r="J29" s="603"/>
      <c r="K29" s="603"/>
      <c r="L29" s="603"/>
      <c r="M29" s="603"/>
      <c r="N29" s="603"/>
      <c r="O29" s="344"/>
      <c r="P29" s="542"/>
      <c r="Q29" s="540"/>
      <c r="R29" s="540"/>
      <c r="S29" s="540"/>
      <c r="T29" s="540"/>
      <c r="U29" s="540"/>
      <c r="V29" s="540"/>
      <c r="W29" s="540"/>
      <c r="X29" s="541"/>
      <c r="Y29" s="109"/>
    </row>
    <row r="30" spans="2:25" ht="15" customHeight="1">
      <c r="B30" s="105"/>
      <c r="C30" s="810" t="s">
        <v>243</v>
      </c>
      <c r="D30" s="811"/>
      <c r="E30" s="809" t="s">
        <v>291</v>
      </c>
      <c r="F30" s="530"/>
      <c r="G30" s="774">
        <f>2.512+5*LOG($I$7)</f>
        <v>14.05161851805941</v>
      </c>
      <c r="H30" s="775"/>
      <c r="I30" s="775"/>
      <c r="J30" s="776"/>
      <c r="K30" s="573">
        <f>G30</f>
        <v>14.05161851805941</v>
      </c>
      <c r="L30" s="574"/>
      <c r="M30" s="574"/>
      <c r="N30" s="575"/>
      <c r="O30" s="331"/>
      <c r="P30" s="542"/>
      <c r="Q30" s="540"/>
      <c r="R30" s="540"/>
      <c r="S30" s="540"/>
      <c r="T30" s="540"/>
      <c r="U30" s="540"/>
      <c r="V30" s="540"/>
      <c r="W30" s="540"/>
      <c r="X30" s="541"/>
      <c r="Y30" s="109"/>
    </row>
    <row r="31" spans="2:25" ht="15" customHeight="1" thickBot="1">
      <c r="B31" s="105"/>
      <c r="C31" s="812"/>
      <c r="D31" s="813"/>
      <c r="E31" s="523" t="s">
        <v>6</v>
      </c>
      <c r="F31" s="524"/>
      <c r="G31" s="796">
        <f>7.5*LOG($K$23/$M$40)</f>
        <v>21.231018366691643</v>
      </c>
      <c r="H31" s="797"/>
      <c r="I31" s="797"/>
      <c r="J31" s="798"/>
      <c r="K31" s="609">
        <f>G31</f>
        <v>21.231018366691643</v>
      </c>
      <c r="L31" s="610"/>
      <c r="M31" s="610"/>
      <c r="N31" s="611"/>
      <c r="O31" s="331"/>
      <c r="P31" s="542"/>
      <c r="Q31" s="540"/>
      <c r="R31" s="540"/>
      <c r="S31" s="540"/>
      <c r="T31" s="540"/>
      <c r="U31" s="540"/>
      <c r="V31" s="540"/>
      <c r="W31" s="540"/>
      <c r="X31" s="541"/>
      <c r="Y31" s="109"/>
    </row>
    <row r="32" spans="2:25" ht="15" customHeight="1" thickBot="1">
      <c r="B32" s="105"/>
      <c r="C32" s="793" t="s">
        <v>246</v>
      </c>
      <c r="D32" s="793"/>
      <c r="E32" s="793"/>
      <c r="F32" s="793"/>
      <c r="G32" s="604" t="s">
        <v>66</v>
      </c>
      <c r="H32" s="605"/>
      <c r="I32" s="605"/>
      <c r="J32" s="605"/>
      <c r="K32" s="602" t="s">
        <v>67</v>
      </c>
      <c r="L32" s="603"/>
      <c r="M32" s="603"/>
      <c r="N32" s="603"/>
      <c r="O32" s="345"/>
      <c r="P32" s="406"/>
      <c r="Q32" s="407"/>
      <c r="R32" s="407"/>
      <c r="S32" s="407"/>
      <c r="T32" s="407"/>
      <c r="U32" s="407"/>
      <c r="V32" s="407"/>
      <c r="W32" s="407"/>
      <c r="X32" s="408"/>
      <c r="Y32" s="109"/>
    </row>
    <row r="33" spans="2:25" ht="15" customHeight="1" thickBot="1">
      <c r="B33" s="111">
        <v>1</v>
      </c>
      <c r="C33" s="619" t="s">
        <v>265</v>
      </c>
      <c r="D33" s="620"/>
      <c r="E33" s="620"/>
      <c r="F33" s="620"/>
      <c r="G33" s="612" t="s">
        <v>308</v>
      </c>
      <c r="H33" s="613"/>
      <c r="I33" s="613"/>
      <c r="J33" s="613"/>
      <c r="K33" s="613"/>
      <c r="L33" s="613"/>
      <c r="M33" s="794">
        <f>0.95</f>
        <v>0.95</v>
      </c>
      <c r="N33" s="795"/>
      <c r="O33" s="345"/>
      <c r="P33" s="831" t="s">
        <v>326</v>
      </c>
      <c r="Q33" s="832"/>
      <c r="R33" s="833"/>
      <c r="S33" s="833"/>
      <c r="T33" s="833"/>
      <c r="U33" s="833"/>
      <c r="V33" s="833"/>
      <c r="W33" s="834"/>
      <c r="X33" s="412">
        <f>10^3.8</f>
        <v>6309.5734448019384</v>
      </c>
      <c r="Y33" s="109"/>
    </row>
    <row r="34" spans="2:25" ht="15" customHeight="1">
      <c r="B34" s="111"/>
      <c r="C34" s="617" t="s">
        <v>315</v>
      </c>
      <c r="D34" s="618"/>
      <c r="E34" s="618"/>
      <c r="F34" s="618"/>
      <c r="G34" s="618"/>
      <c r="H34" s="618"/>
      <c r="I34" s="618"/>
      <c r="J34" s="618"/>
      <c r="K34" s="618"/>
      <c r="L34" s="618"/>
      <c r="M34" s="618"/>
      <c r="N34" s="409">
        <f>IF(P7="SUNSPOTS",$W$7,"-")</f>
        <v>-26.7</v>
      </c>
      <c r="O34" s="318"/>
      <c r="P34" s="835"/>
      <c r="Q34" s="833"/>
      <c r="R34" s="833"/>
      <c r="S34" s="833"/>
      <c r="T34" s="833"/>
      <c r="U34" s="833"/>
      <c r="V34" s="833"/>
      <c r="W34" s="834"/>
      <c r="X34" s="411">
        <f>LOG($X$33)</f>
        <v>3.8000000000000003</v>
      </c>
      <c r="Y34" s="109"/>
    </row>
    <row r="35" spans="2:25" ht="15" customHeight="1" thickBot="1">
      <c r="B35" s="111"/>
      <c r="C35" s="598" t="s">
        <v>317</v>
      </c>
      <c r="D35" s="599"/>
      <c r="E35" s="599"/>
      <c r="F35" s="599"/>
      <c r="G35" s="599"/>
      <c r="H35" s="599"/>
      <c r="I35" s="599"/>
      <c r="J35" s="599"/>
      <c r="K35" s="599"/>
      <c r="L35" s="599"/>
      <c r="M35" s="599"/>
      <c r="N35" s="599"/>
      <c r="O35" s="318"/>
      <c r="P35" s="835"/>
      <c r="Q35" s="833"/>
      <c r="R35" s="833"/>
      <c r="S35" s="833"/>
      <c r="T35" s="833"/>
      <c r="U35" s="833"/>
      <c r="V35" s="833"/>
      <c r="W35" s="834"/>
      <c r="X35" s="428">
        <f>100-ABS(LOG(1/$X$34/100))</f>
        <v>97.420216403383193</v>
      </c>
      <c r="Y35" s="109"/>
    </row>
    <row r="36" spans="2:25" ht="17.100000000000001" customHeight="1" thickBot="1">
      <c r="B36" s="111"/>
      <c r="C36" s="600" t="s">
        <v>316</v>
      </c>
      <c r="D36" s="601"/>
      <c r="E36" s="601"/>
      <c r="F36" s="601"/>
      <c r="G36" s="601"/>
      <c r="H36" s="601"/>
      <c r="I36" s="601"/>
      <c r="J36" s="601"/>
      <c r="K36" s="311">
        <f>IF($N$36="-","-",LOG($N$36))</f>
        <v>3.8000000000000003</v>
      </c>
      <c r="L36" s="836" t="s">
        <v>301</v>
      </c>
      <c r="M36" s="837"/>
      <c r="N36" s="314">
        <f>IF($W$7&lt;=-20,$X$33,"-")</f>
        <v>6309.5734448019384</v>
      </c>
      <c r="O36" s="318"/>
      <c r="P36" s="869" t="s">
        <v>204</v>
      </c>
      <c r="Q36" s="870"/>
      <c r="R36" s="871"/>
      <c r="S36" s="871"/>
      <c r="T36" s="871"/>
      <c r="U36" s="871"/>
      <c r="V36" s="871"/>
      <c r="W36" s="871"/>
      <c r="X36" s="410"/>
      <c r="Y36" s="112"/>
    </row>
    <row r="37" spans="2:25" ht="17.100000000000001" customHeight="1" thickBot="1">
      <c r="B37" s="113"/>
      <c r="C37" s="996" t="s">
        <v>203</v>
      </c>
      <c r="D37" s="642"/>
      <c r="E37" s="642"/>
      <c r="F37" s="642"/>
      <c r="G37" s="642"/>
      <c r="H37" s="642"/>
      <c r="I37" s="642"/>
      <c r="J37" s="642"/>
      <c r="K37" s="642"/>
      <c r="L37" s="642"/>
      <c r="M37" s="642"/>
      <c r="N37" s="642"/>
      <c r="O37" s="341"/>
      <c r="P37" s="857" t="s">
        <v>353</v>
      </c>
      <c r="Q37" s="858"/>
      <c r="R37" s="540"/>
      <c r="S37" s="540"/>
      <c r="T37" s="540"/>
      <c r="U37" s="540"/>
      <c r="V37" s="540"/>
      <c r="W37" s="540"/>
      <c r="X37" s="541"/>
      <c r="Y37" s="114"/>
    </row>
    <row r="38" spans="2:25" ht="17.100000000000001" customHeight="1" thickBot="1">
      <c r="B38" s="105"/>
      <c r="C38" s="803" t="s">
        <v>97</v>
      </c>
      <c r="D38" s="804"/>
      <c r="E38" s="804"/>
      <c r="F38" s="805"/>
      <c r="G38" s="595" t="s">
        <v>355</v>
      </c>
      <c r="H38" s="596"/>
      <c r="I38" s="596"/>
      <c r="J38" s="596"/>
      <c r="K38" s="596"/>
      <c r="L38" s="596"/>
      <c r="M38" s="596"/>
      <c r="N38" s="597"/>
      <c r="O38" s="345"/>
      <c r="P38" s="542"/>
      <c r="Q38" s="540"/>
      <c r="R38" s="540"/>
      <c r="S38" s="540"/>
      <c r="T38" s="540"/>
      <c r="U38" s="540"/>
      <c r="V38" s="540"/>
      <c r="W38" s="540"/>
      <c r="X38" s="541"/>
      <c r="Y38" s="105"/>
    </row>
    <row r="39" spans="2:25" ht="15" customHeight="1" thickBot="1">
      <c r="B39" s="105"/>
      <c r="C39" s="513" t="s">
        <v>189</v>
      </c>
      <c r="D39" s="875" t="s">
        <v>190</v>
      </c>
      <c r="E39" s="876"/>
      <c r="F39" s="876"/>
      <c r="G39" s="629" t="s">
        <v>96</v>
      </c>
      <c r="H39" s="630"/>
      <c r="I39" s="630"/>
      <c r="J39" s="631" t="s">
        <v>191</v>
      </c>
      <c r="K39" s="632"/>
      <c r="L39" s="632"/>
      <c r="M39" s="975" t="s">
        <v>282</v>
      </c>
      <c r="N39" s="976"/>
      <c r="O39" s="332"/>
      <c r="P39" s="542"/>
      <c r="Q39" s="540"/>
      <c r="R39" s="540"/>
      <c r="S39" s="540"/>
      <c r="T39" s="540"/>
      <c r="U39" s="540"/>
      <c r="V39" s="540"/>
      <c r="W39" s="540"/>
      <c r="X39" s="541"/>
      <c r="Y39" s="105"/>
    </row>
    <row r="40" spans="2:25" ht="15" customHeight="1">
      <c r="B40" s="105"/>
      <c r="C40" s="413">
        <f>J40</f>
        <v>1280</v>
      </c>
      <c r="D40" s="877">
        <v>3.75</v>
      </c>
      <c r="E40" s="878"/>
      <c r="F40" s="879"/>
      <c r="G40" s="790">
        <f>($J$40*$D$40/1000)</f>
        <v>4.8</v>
      </c>
      <c r="H40" s="791"/>
      <c r="I40" s="792"/>
      <c r="J40" s="784">
        <v>1280</v>
      </c>
      <c r="K40" s="785"/>
      <c r="L40" s="786"/>
      <c r="M40" s="633">
        <f>(SQRT($G$40^2+$G$41^2))</f>
        <v>6</v>
      </c>
      <c r="N40" s="634"/>
      <c r="O40" s="332"/>
      <c r="P40" s="542"/>
      <c r="Q40" s="540"/>
      <c r="R40" s="540"/>
      <c r="S40" s="540"/>
      <c r="T40" s="540"/>
      <c r="U40" s="540"/>
      <c r="V40" s="540"/>
      <c r="W40" s="540"/>
      <c r="X40" s="541"/>
      <c r="Y40" s="105"/>
    </row>
    <row r="41" spans="2:25" ht="15" customHeight="1" thickBot="1">
      <c r="B41" s="105"/>
      <c r="C41" s="414">
        <f>J41</f>
        <v>960</v>
      </c>
      <c r="D41" s="880"/>
      <c r="E41" s="881"/>
      <c r="F41" s="882"/>
      <c r="G41" s="987">
        <f>($J$41*$D$40/1000)</f>
        <v>3.6</v>
      </c>
      <c r="H41" s="988"/>
      <c r="I41" s="989"/>
      <c r="J41" s="990">
        <v>960</v>
      </c>
      <c r="K41" s="991"/>
      <c r="L41" s="992"/>
      <c r="M41" s="635"/>
      <c r="N41" s="636"/>
      <c r="O41" s="332"/>
      <c r="P41" s="859" t="s">
        <v>304</v>
      </c>
      <c r="Q41" s="860"/>
      <c r="R41" s="861"/>
      <c r="S41" s="861"/>
      <c r="T41" s="861"/>
      <c r="U41" s="861"/>
      <c r="V41" s="861"/>
      <c r="W41" s="861"/>
      <c r="X41" s="862"/>
      <c r="Y41" s="105"/>
    </row>
    <row r="42" spans="2:25" ht="15" customHeight="1" thickBot="1">
      <c r="B42" s="105"/>
      <c r="C42" s="986" t="s">
        <v>199</v>
      </c>
      <c r="D42" s="522"/>
      <c r="E42" s="522"/>
      <c r="F42" s="522"/>
      <c r="G42" s="522"/>
      <c r="H42" s="522"/>
      <c r="I42" s="522"/>
      <c r="J42" s="522"/>
      <c r="K42" s="522"/>
      <c r="L42" s="522"/>
      <c r="M42" s="522"/>
      <c r="N42" s="522"/>
      <c r="O42" s="346"/>
      <c r="P42" s="863"/>
      <c r="Q42" s="861"/>
      <c r="R42" s="861"/>
      <c r="S42" s="861"/>
      <c r="T42" s="861"/>
      <c r="U42" s="861"/>
      <c r="V42" s="861"/>
      <c r="W42" s="861"/>
      <c r="X42" s="862"/>
      <c r="Y42" s="115"/>
    </row>
    <row r="43" spans="2:25" ht="15" customHeight="1" thickBot="1">
      <c r="B43" s="105"/>
      <c r="C43" s="379" t="s">
        <v>288</v>
      </c>
      <c r="D43" s="380"/>
      <c r="E43" s="380"/>
      <c r="F43" s="380"/>
      <c r="G43" s="380"/>
      <c r="H43" s="381"/>
      <c r="I43" s="509" t="s">
        <v>347</v>
      </c>
      <c r="J43" s="977" t="str">
        <f>IF($I$43="FP","FOCO PRIMARIO",IF($I$43="PO","PROYECCIÓN OCULAR"))</f>
        <v>FOCO PRIMARIO</v>
      </c>
      <c r="K43" s="978"/>
      <c r="L43" s="978"/>
      <c r="M43" s="978"/>
      <c r="N43" s="979"/>
      <c r="O43" s="346"/>
      <c r="P43" s="863"/>
      <c r="Q43" s="861"/>
      <c r="R43" s="861"/>
      <c r="S43" s="861"/>
      <c r="T43" s="861"/>
      <c r="U43" s="861"/>
      <c r="V43" s="861"/>
      <c r="W43" s="861"/>
      <c r="X43" s="862"/>
      <c r="Y43" s="115"/>
    </row>
    <row r="44" spans="2:25" ht="15" customHeight="1" thickTop="1" thickBot="1">
      <c r="B44" s="105"/>
      <c r="C44" s="621" t="s">
        <v>218</v>
      </c>
      <c r="D44" s="592"/>
      <c r="E44" s="592"/>
      <c r="F44" s="592"/>
      <c r="G44" s="592"/>
      <c r="H44" s="592"/>
      <c r="I44" s="787"/>
      <c r="J44" s="592"/>
      <c r="K44" s="592"/>
      <c r="L44" s="782">
        <f>IF($G$49&gt;0,SQRT($G$49),IF($G$50&gt;0,SQRT($G$50)))</f>
        <v>63.63961030678928</v>
      </c>
      <c r="M44" s="782"/>
      <c r="N44" s="783"/>
      <c r="O44" s="346"/>
      <c r="P44" s="863"/>
      <c r="Q44" s="861"/>
      <c r="R44" s="861"/>
      <c r="S44" s="861"/>
      <c r="T44" s="861"/>
      <c r="U44" s="861"/>
      <c r="V44" s="861"/>
      <c r="W44" s="861"/>
      <c r="X44" s="862"/>
      <c r="Y44" s="116"/>
    </row>
    <row r="45" spans="2:25" ht="15" customHeight="1" thickBot="1">
      <c r="B45" s="105"/>
      <c r="C45" s="591" t="s">
        <v>296</v>
      </c>
      <c r="D45" s="592"/>
      <c r="E45" s="592"/>
      <c r="F45" s="592"/>
      <c r="G45" s="593"/>
      <c r="H45" s="593"/>
      <c r="I45" s="593"/>
      <c r="J45" s="593"/>
      <c r="K45" s="594"/>
      <c r="L45" s="606" t="s">
        <v>358</v>
      </c>
      <c r="M45" s="607"/>
      <c r="N45" s="608"/>
      <c r="O45" s="375"/>
      <c r="P45" s="863"/>
      <c r="Q45" s="861"/>
      <c r="R45" s="861"/>
      <c r="S45" s="861"/>
      <c r="T45" s="861"/>
      <c r="U45" s="861"/>
      <c r="V45" s="861"/>
      <c r="W45" s="861"/>
      <c r="X45" s="862"/>
      <c r="Y45" s="118"/>
    </row>
    <row r="46" spans="2:25" ht="15" customHeight="1">
      <c r="B46" s="105"/>
      <c r="C46" s="621" t="str">
        <f>IF(L45="B/N","Tomas de vídeo x canal B/N",IF(L45="RGB","Tomas de vídeo x canal RGB",IF(L45="L-RGB","Tomas de vídeo x canal L-RGB")))</f>
        <v>Tomas de vídeo x canal B/N</v>
      </c>
      <c r="D46" s="592"/>
      <c r="E46" s="592"/>
      <c r="F46" s="622"/>
      <c r="G46" s="780">
        <f>(IF(L45="RGB","-",IF($L$45="B/N",0,IF($L$45="L-RGB",$K$46))))</f>
        <v>0</v>
      </c>
      <c r="H46" s="781"/>
      <c r="I46" s="589">
        <f>ROUND(IF($L$45="B/N","",($K$46*1.43)),0)</f>
        <v>0</v>
      </c>
      <c r="J46" s="590"/>
      <c r="K46" s="627">
        <f>IF(I43="PO",$M$47*20,C48*3.75)</f>
        <v>9.375</v>
      </c>
      <c r="L46" s="628"/>
      <c r="M46" s="571">
        <f>ROUND(IF($L$45="B/N",0,($K$46*1.82)),0)</f>
        <v>0</v>
      </c>
      <c r="N46" s="572"/>
      <c r="O46" s="376"/>
      <c r="P46" s="864"/>
      <c r="Q46" s="865"/>
      <c r="R46" s="866"/>
      <c r="S46" s="866"/>
      <c r="T46" s="866"/>
      <c r="U46" s="866"/>
      <c r="V46" s="866"/>
      <c r="W46" s="866"/>
      <c r="X46" s="867"/>
      <c r="Y46" s="119"/>
    </row>
    <row r="47" spans="2:25" ht="15" customHeight="1" thickBot="1">
      <c r="B47" s="105"/>
      <c r="C47" s="591" t="s">
        <v>244</v>
      </c>
      <c r="D47" s="788"/>
      <c r="E47" s="788"/>
      <c r="F47" s="789"/>
      <c r="G47" s="637">
        <v>0</v>
      </c>
      <c r="H47" s="638"/>
      <c r="I47" s="569">
        <f>IF($G$47&gt;0,$G$47,IF($P$7="DEEP SKY",5,IF($P$7="SUNSPOTS",30,IF($P$7="LUNA",30,IF($W$7&lt;0,30,IF($W$7&lt;4,15,IF($W$7&lt;7,10,IF($W$7&gt;7,5))))))))</f>
        <v>30</v>
      </c>
      <c r="J47" s="570"/>
      <c r="K47" s="401">
        <f>((IF($L$45="B/N",$K$46*1,IF($L$45="RGB",($I$46+$K$46+$M$46)*1,IF($L$45="L-RGB",SUM($G$46:$M$46)*0.1)*$K$13))))</f>
        <v>9.375</v>
      </c>
      <c r="L47" s="401" cm="1">
        <f t="array" ref="L47">(IF($L$45="B/N",$K$46*1,IF($L$45="RGB",SUM(($I$46:$M$46)*1,IF($L$45="L-RGB",SUM($G$46:$M$46))*$K$14))))</f>
        <v>9.375</v>
      </c>
      <c r="M47" s="469" t="e">
        <f>1/(ROUND(IF($I$43="PO",((IF($H$50&gt;0,$H$50,(IF($W$7&lt;=-20,0.5,IF($W$7&lt;=-8,2,IF($W$7&lt;5,2,IF($W$7&gt;2,10,IF($W$7&gt;5,20,IF($W$7&gt;=10,30)))))))))/IF($N$36="-",$M$33,$M$33*1/LOG($N$36))/$K$14*0.233236)),0))</f>
        <v>#DIV/0!</v>
      </c>
      <c r="N47" s="470">
        <f>IF($G$52&gt;0,"-",IF($W$7&lt;=-20,15,IF($W$7&gt;=-10,20,IF($W$7&lt;=0,15,IF($W$7&lt;=2,5,IF($W$7&lt;=4,10,IF($W$7&gt;4,20)))))))</f>
        <v>15</v>
      </c>
      <c r="O47" s="377"/>
      <c r="P47" s="868"/>
      <c r="Q47" s="866"/>
      <c r="R47" s="866"/>
      <c r="S47" s="866"/>
      <c r="T47" s="866"/>
      <c r="U47" s="866"/>
      <c r="V47" s="866"/>
      <c r="W47" s="866"/>
      <c r="X47" s="867"/>
      <c r="Y47" s="120"/>
    </row>
    <row r="48" spans="2:25" ht="15" customHeight="1" thickBot="1">
      <c r="B48" s="105"/>
      <c r="C48" s="400">
        <f>7.5*(1/(ROUND(IF(I43="FP",((IF($H$50&gt;0,$H$50,(IF($W$7&lt;=-20,0.125,IF($W$7&lt;0,1.25,IF($W$7&gt;0,0.75,IF($W$7&gt;4,0.5,IF($W$7&gt;=10,0.25)))))))))/IF($N$36="-",$M$33,$M$33*1/LOG($N$36))/$K$14),0)))</f>
        <v>2.5</v>
      </c>
      <c r="D48" s="398">
        <f>(INT((IF($L$45="B/N",$K$46*0.024922,IF($L$45="RGB",SUM($I$46:$N$46)*0.025547,IF($L$45="L-RGB",SUM($G$46:$N$46)*0.02567))))*$K$14))</f>
        <v>0</v>
      </c>
      <c r="E48" s="399">
        <f>IF($K$19=0,$K$47,$L$47)</f>
        <v>9.375</v>
      </c>
      <c r="F48" s="398">
        <f>INT(IF(I43="PO",(IF($L$45="B/N",$K$46/4,IF($L$45="RGB",SUM($I$46:$M$46)*0.95,IF($L$45="L-RGB",SUM($G$46:$M$46))))),IF(I43="FP",(IF($L$45="B/N",$K$46*1,IF($L$45="RGB",SUM($I$46:$M$46)*1,IF($L$45="L-RGB",SUM($G$46:$M$46))))))))</f>
        <v>9</v>
      </c>
      <c r="G48" s="842" t="s">
        <v>295</v>
      </c>
      <c r="H48" s="843"/>
      <c r="I48" s="843"/>
      <c r="J48" s="843"/>
      <c r="K48" s="843"/>
      <c r="L48" s="843"/>
      <c r="M48" s="843"/>
      <c r="N48" s="844"/>
      <c r="O48" s="377"/>
      <c r="P48" s="868"/>
      <c r="Q48" s="866"/>
      <c r="R48" s="866"/>
      <c r="S48" s="866"/>
      <c r="T48" s="866"/>
      <c r="U48" s="866"/>
      <c r="V48" s="866"/>
      <c r="W48" s="866"/>
      <c r="X48" s="867"/>
      <c r="Y48" s="120"/>
    </row>
    <row r="49" spans="2:30" ht="15" customHeight="1" thickBot="1">
      <c r="B49" s="105"/>
      <c r="C49" s="944" t="str">
        <f>IF(C50="PLANETAS con ROTACIÓN","-","OBJETOS VARIOS")</f>
        <v>OBJETOS VARIOS</v>
      </c>
      <c r="D49" s="945"/>
      <c r="E49" s="942" t="str">
        <f>P7</f>
        <v>sunspots</v>
      </c>
      <c r="F49" s="943"/>
      <c r="G49" s="838">
        <f>IF(G50&gt;0,"-",IF(L45="B/N",I49*K49*M49*1,IF(L45="RGB",(I49*K49*M49)*1,IF(L45="L-RGB",(I49*K49*M49)*1))))</f>
        <v>4050</v>
      </c>
      <c r="H49" s="839"/>
      <c r="I49" s="840">
        <f>IF(C49="-","-",ROUND(SUM(G46:M46),0))</f>
        <v>9</v>
      </c>
      <c r="J49" s="841"/>
      <c r="K49" s="845">
        <f>IF($P$7="DEEP SKY",30,IF($P$7="","-",IF(K50&gt;0,"-",ROUND($N$47,0))))</f>
        <v>15</v>
      </c>
      <c r="L49" s="846"/>
      <c r="M49" s="934">
        <f>IF(C49="-","-",ROUND(I$47,0))</f>
        <v>30</v>
      </c>
      <c r="N49" s="935"/>
      <c r="O49" s="377"/>
      <c r="P49" s="868"/>
      <c r="Q49" s="866"/>
      <c r="R49" s="866"/>
      <c r="S49" s="866"/>
      <c r="T49" s="866"/>
      <c r="U49" s="866"/>
      <c r="V49" s="866"/>
      <c r="W49" s="866"/>
      <c r="X49" s="867"/>
      <c r="Y49" s="120"/>
    </row>
    <row r="50" spans="2:30" ht="15" customHeight="1" thickTop="1" thickBot="1">
      <c r="B50" s="105"/>
      <c r="C50" s="883" t="str">
        <f>IF(K50="-","-","PLANETAS con ROTACIÓN")</f>
        <v>-</v>
      </c>
      <c r="D50" s="884"/>
      <c r="E50" s="885"/>
      <c r="F50" s="886"/>
      <c r="G50" s="946" t="str">
        <f>(IF(C50="-","-",(IF($L$45="B/N",I50*K50*M50*1,IF($L$45="RGB",(I50*K50*M50)*1,IF($L$45="L-RGB",(I50*K50*M50)*1))))))</f>
        <v>-</v>
      </c>
      <c r="H50" s="947"/>
      <c r="I50" s="980" t="str">
        <f>IF(C50="-","-",ROUND(SUM(G46:M46),0))</f>
        <v>-</v>
      </c>
      <c r="J50" s="981"/>
      <c r="K50" s="936" t="str">
        <f>(IF(P7="OTRO","-",IF(P7="MARTE","-",IF($P$7="DEEP SKY","-",IF(P7="VENUS","-",IF($W$8="","-",IF($P$7="jupiter",ROUND($M$53,0),IF($P$7="saturno",ROUND($N$53,0)))))))))</f>
        <v>-</v>
      </c>
      <c r="L50" s="937"/>
      <c r="M50" s="928" t="str">
        <f>IF(C50="-","-",ROUND($I$47,0))</f>
        <v>-</v>
      </c>
      <c r="N50" s="929"/>
      <c r="O50" s="378"/>
      <c r="P50" s="868"/>
      <c r="Q50" s="866"/>
      <c r="R50" s="866"/>
      <c r="S50" s="866"/>
      <c r="T50" s="866"/>
      <c r="U50" s="866"/>
      <c r="V50" s="866"/>
      <c r="W50" s="866"/>
      <c r="X50" s="867"/>
      <c r="Y50" s="121"/>
      <c r="AB50" s="404"/>
      <c r="AC50" s="405"/>
      <c r="AD50" s="405"/>
    </row>
    <row r="51" spans="2:30" ht="6.2" customHeight="1" thickBot="1">
      <c r="B51" s="105"/>
      <c r="C51" s="396"/>
      <c r="D51" s="397"/>
      <c r="E51" s="397"/>
      <c r="F51" s="388"/>
      <c r="G51" s="461"/>
      <c r="H51" s="462"/>
      <c r="I51" s="462"/>
      <c r="J51" s="461"/>
      <c r="K51" s="463"/>
      <c r="L51" s="464"/>
      <c r="M51" s="464"/>
      <c r="N51" s="465"/>
      <c r="O51" s="378"/>
      <c r="P51" s="868"/>
      <c r="Q51" s="866"/>
      <c r="R51" s="866"/>
      <c r="S51" s="866"/>
      <c r="T51" s="866"/>
      <c r="U51" s="866"/>
      <c r="V51" s="866"/>
      <c r="W51" s="866"/>
      <c r="X51" s="867"/>
      <c r="Y51" s="121"/>
    </row>
    <row r="52" spans="2:30" ht="15" customHeight="1" thickBot="1">
      <c r="B52" s="105"/>
      <c r="C52" s="851" t="s">
        <v>305</v>
      </c>
      <c r="D52" s="852"/>
      <c r="E52" s="852"/>
      <c r="F52" s="852"/>
      <c r="G52" s="853"/>
      <c r="H52" s="940">
        <f>IF(G49&gt;0,H53,I53)</f>
        <v>135</v>
      </c>
      <c r="I52" s="941"/>
      <c r="J52" s="402" t="s">
        <v>279</v>
      </c>
      <c r="K52" s="466">
        <f>INT($H$52/3600)</f>
        <v>0</v>
      </c>
      <c r="L52" s="467">
        <f>INT((($H$52/3600)-INT($H$52/3600))*60)</f>
        <v>2</v>
      </c>
      <c r="M52" s="930">
        <f>(((((($H$52/3600)-INT($H$52/3600))*60)-INT((($H$52/3600)-INT($H$52/3600))*60))*60))</f>
        <v>15</v>
      </c>
      <c r="N52" s="931"/>
      <c r="O52" s="378"/>
      <c r="P52" s="847" t="s">
        <v>299</v>
      </c>
      <c r="Q52" s="848"/>
      <c r="R52" s="849"/>
      <c r="S52" s="849"/>
      <c r="T52" s="849"/>
      <c r="U52" s="849"/>
      <c r="V52" s="849"/>
      <c r="W52" s="849"/>
      <c r="X52" s="850"/>
      <c r="Y52" s="121"/>
    </row>
    <row r="53" spans="2:30" ht="6.2" customHeight="1" thickTop="1">
      <c r="B53" s="105"/>
      <c r="C53" s="393"/>
      <c r="D53" s="394"/>
      <c r="E53" s="394"/>
      <c r="F53" s="394"/>
      <c r="G53" s="394"/>
      <c r="H53" s="403">
        <f>(IF(G49&gt;0,I49*K49))</f>
        <v>135</v>
      </c>
      <c r="I53" s="403" t="b">
        <f>(IF(G50&gt;0,I50*K50))</f>
        <v>0</v>
      </c>
      <c r="J53" s="384"/>
      <c r="K53" s="384"/>
      <c r="L53" s="384"/>
      <c r="M53" s="385">
        <f>ROUND((('CONFIG.'!$F$50/'CONFIG.'!$E$49)/(206265/(2*PI()))*0.2*('CONFIG.'!$I$50*3600)/((PI())*(3600*(ATAN('CONFIG.'!$E$49/'CONFIG.'!$F$50)*360/(2*PI()))))),0)</f>
        <v>10</v>
      </c>
      <c r="N53" s="395">
        <f>('CONFIG.'!$F$56/'CONFIG.'!$E$55)/(206265/(2*PI()))*0.2*('CONFIG.'!$I$56*3600)/((PI())*(3600*(ATAN('CONFIG.'!$E$55/'CONFIG.'!$F$56)*360/(2*PI()))))</f>
        <v>45.838243383948303</v>
      </c>
      <c r="O53" s="378"/>
      <c r="P53" s="710" t="s">
        <v>312</v>
      </c>
      <c r="Q53" s="711"/>
      <c r="R53" s="540"/>
      <c r="S53" s="540"/>
      <c r="T53" s="540"/>
      <c r="U53" s="540"/>
      <c r="V53" s="540"/>
      <c r="W53" s="540"/>
      <c r="X53" s="541"/>
      <c r="Y53" s="121"/>
    </row>
    <row r="54" spans="2:30" ht="15" customHeight="1" thickBot="1">
      <c r="B54" s="105"/>
      <c r="C54" s="389" t="s">
        <v>289</v>
      </c>
      <c r="D54" s="390"/>
      <c r="E54" s="390"/>
      <c r="F54" s="390"/>
      <c r="G54" s="390"/>
      <c r="H54" s="390"/>
      <c r="I54" s="391">
        <f>(($G$40*360*3600)/($G$22*2*PI()))/60</f>
        <v>4.0603308316357554</v>
      </c>
      <c r="J54" s="392">
        <f>(($G$41*360*3600)/($G$22*2*PI()))/60</f>
        <v>3.0452481237268163</v>
      </c>
      <c r="K54" s="854">
        <f>SQRT($I$54^2+$J$54^2)</f>
        <v>5.0754135395446944</v>
      </c>
      <c r="L54" s="855"/>
      <c r="M54" s="855"/>
      <c r="N54" s="856"/>
      <c r="O54" s="335"/>
      <c r="P54" s="542"/>
      <c r="Q54" s="540"/>
      <c r="R54" s="540"/>
      <c r="S54" s="540"/>
      <c r="T54" s="540"/>
      <c r="U54" s="540"/>
      <c r="V54" s="540"/>
      <c r="W54" s="540"/>
      <c r="X54" s="541"/>
      <c r="Y54" s="109"/>
    </row>
    <row r="55" spans="2:30" ht="6.2" customHeight="1" thickBot="1">
      <c r="B55" s="105"/>
      <c r="C55" s="334"/>
      <c r="D55" s="296"/>
      <c r="E55" s="296"/>
      <c r="F55" s="296"/>
      <c r="G55" s="296"/>
      <c r="H55" s="296"/>
      <c r="I55" s="296"/>
      <c r="J55" s="297"/>
      <c r="K55" s="519">
        <f>(P9*206265/G20/10^4)</f>
        <v>1308.4448587241889</v>
      </c>
      <c r="L55" s="520">
        <f>IF(G57="OCU",IF(K55&gt;G20,K55/G20,K55))</f>
        <v>43.614828624139626</v>
      </c>
      <c r="M55" s="519">
        <f>(P9/M40)</f>
        <v>317.17568630746581</v>
      </c>
      <c r="N55" s="520" t="b">
        <f>IF(G57="CCD",IF(M55&gt;M40,M55/M40,M55))</f>
        <v>0</v>
      </c>
      <c r="O55" s="516"/>
      <c r="P55" s="542"/>
      <c r="Q55" s="540"/>
      <c r="R55" s="540"/>
      <c r="S55" s="540"/>
      <c r="T55" s="540"/>
      <c r="U55" s="540"/>
      <c r="V55" s="540"/>
      <c r="W55" s="540"/>
      <c r="X55" s="541"/>
      <c r="Y55" s="109"/>
      <c r="Z55" s="299"/>
    </row>
    <row r="56" spans="2:30" ht="15" customHeight="1" thickBot="1">
      <c r="B56" s="105"/>
      <c r="C56" s="953" t="s">
        <v>267</v>
      </c>
      <c r="D56" s="954"/>
      <c r="E56" s="954"/>
      <c r="F56" s="954"/>
      <c r="G56" s="878"/>
      <c r="H56" s="878"/>
      <c r="I56" s="878"/>
      <c r="J56" s="878"/>
      <c r="K56" s="955"/>
      <c r="L56" s="955"/>
      <c r="M56" s="955"/>
      <c r="N56" s="955"/>
      <c r="O56" s="333"/>
      <c r="P56" s="542"/>
      <c r="Q56" s="540"/>
      <c r="R56" s="540"/>
      <c r="S56" s="540"/>
      <c r="T56" s="540"/>
      <c r="U56" s="540"/>
      <c r="V56" s="540"/>
      <c r="W56" s="540"/>
      <c r="X56" s="541"/>
      <c r="Y56" s="109"/>
      <c r="Z56" s="299" t="str">
        <f>IF(  (110.1990886)  &lt;30, 6,"")</f>
        <v/>
      </c>
      <c r="AB56" s="521" t="e">
        <f>#REF!/100</f>
        <v>#REF!</v>
      </c>
      <c r="AC56" s="522"/>
    </row>
    <row r="57" spans="2:30" ht="15" customHeight="1" thickBot="1">
      <c r="B57" s="105"/>
      <c r="C57" s="963" t="str">
        <f>IF(G57="OCU","SE VERÁ EN EL OCU",IF(G57="CCD","OCUPARÁ EN LA CCD"))</f>
        <v>SE VERÁ EN EL OCU</v>
      </c>
      <c r="D57" s="964"/>
      <c r="E57" s="964"/>
      <c r="F57" s="965"/>
      <c r="G57" s="512" t="s">
        <v>356</v>
      </c>
      <c r="H57" s="956">
        <f>IF(G57="CCD",G38,G20)</f>
        <v>30</v>
      </c>
      <c r="I57" s="957"/>
      <c r="J57" s="957"/>
      <c r="K57" s="517">
        <f>IF($G$57="OCU",$L$55,"-")</f>
        <v>43.614828624139626</v>
      </c>
      <c r="L57" s="518" t="str">
        <f>IF($G$57="OCU",(IF(K$55&lt;$G$20,"mm",IF($K$55&gt;$G$20,"%"))),"-")</f>
        <v>%</v>
      </c>
      <c r="M57" s="517" t="str">
        <f>IF($G$57="CCD",$N$55,"-")</f>
        <v>-</v>
      </c>
      <c r="N57" s="518" t="str">
        <f>IF($G$57="CCD",(IF(M$55&lt;$G$20,"mm",IF($K$55&gt;$G$20,"%"))),"-")</f>
        <v>-</v>
      </c>
      <c r="O57" s="387"/>
      <c r="P57" s="960"/>
      <c r="Q57" s="961"/>
      <c r="R57" s="961"/>
      <c r="S57" s="961"/>
      <c r="T57" s="961"/>
      <c r="U57" s="961"/>
      <c r="V57" s="961"/>
      <c r="W57" s="961"/>
      <c r="X57" s="962"/>
      <c r="Y57" s="124"/>
      <c r="Z57" s="300"/>
    </row>
    <row r="58" spans="2:30" s="150" customFormat="1" ht="18" customHeight="1" thickTop="1" thickBot="1">
      <c r="B58" s="421"/>
      <c r="C58" s="958" t="s">
        <v>313</v>
      </c>
      <c r="D58" s="959"/>
      <c r="E58" s="959"/>
      <c r="F58" s="959"/>
      <c r="G58" s="959"/>
      <c r="H58" s="959"/>
      <c r="I58" s="959"/>
      <c r="J58" s="959"/>
      <c r="K58" s="959"/>
      <c r="L58" s="959"/>
      <c r="M58" s="959"/>
      <c r="N58" s="959"/>
      <c r="O58" s="959"/>
      <c r="P58" s="959"/>
      <c r="Q58" s="959"/>
      <c r="R58" s="959"/>
      <c r="S58" s="959"/>
      <c r="T58" s="959"/>
      <c r="U58" s="959"/>
      <c r="V58" s="959"/>
      <c r="W58" s="959"/>
      <c r="X58" s="959"/>
      <c r="Y58" s="422"/>
    </row>
    <row r="59" spans="2:30" s="198" customFormat="1" ht="15" customHeight="1" thickTop="1" thickBot="1">
      <c r="B59" s="200"/>
      <c r="C59" s="1010" t="s">
        <v>327</v>
      </c>
      <c r="D59" s="585"/>
      <c r="E59" s="585"/>
      <c r="F59" s="983"/>
      <c r="G59" s="358">
        <v>2</v>
      </c>
      <c r="H59" s="371">
        <v>8</v>
      </c>
      <c r="I59" s="372">
        <v>53.8</v>
      </c>
      <c r="J59" s="511" t="s">
        <v>297</v>
      </c>
      <c r="K59" s="340" t="s">
        <v>307</v>
      </c>
      <c r="L59" s="932">
        <f>$I$59/3600+$H$59/60+$G$59</f>
        <v>2.148277777777778</v>
      </c>
      <c r="M59" s="933"/>
      <c r="N59" s="982" t="s">
        <v>306</v>
      </c>
      <c r="O59" s="585"/>
      <c r="P59" s="983"/>
      <c r="Q59" s="814">
        <f>($L$59/(360/24))+ABS(L61)-1</f>
        <v>1.1432185185185184</v>
      </c>
      <c r="R59" s="815"/>
      <c r="S59" s="984" t="str">
        <f>IF(J59="W","en UTC, SUMAR a LT","en UTC, RESTAR a LT")</f>
        <v>en UTC, RESTAR a LT</v>
      </c>
      <c r="T59" s="585"/>
      <c r="U59" s="585"/>
      <c r="V59" s="985"/>
      <c r="W59" s="430">
        <f>INT(Q59)</f>
        <v>1</v>
      </c>
      <c r="X59" s="431">
        <f>IF((60-(((Q59-W59)*100)*60/100))=60,0,(60-(((Q59-W59)*100)*60/100)))</f>
        <v>51.406888888888894</v>
      </c>
      <c r="Y59" s="204"/>
    </row>
    <row r="60" spans="2:30" s="317" customFormat="1" ht="15" customHeight="1" thickBot="1">
      <c r="B60" s="316"/>
      <c r="C60" s="906" t="s">
        <v>275</v>
      </c>
      <c r="D60" s="907"/>
      <c r="E60" s="907"/>
      <c r="F60" s="907"/>
      <c r="G60" s="907"/>
      <c r="H60" s="907"/>
      <c r="I60" s="907"/>
      <c r="J60" s="907"/>
      <c r="K60" s="907"/>
      <c r="L60" s="907"/>
      <c r="M60" s="907"/>
      <c r="N60" s="907"/>
      <c r="O60" s="890" t="s">
        <v>274</v>
      </c>
      <c r="P60" s="526"/>
      <c r="Q60" s="526"/>
      <c r="R60" s="526"/>
      <c r="S60" s="526"/>
      <c r="T60" s="526"/>
      <c r="U60" s="526"/>
      <c r="V60" s="526"/>
      <c r="W60" s="526"/>
      <c r="X60" s="526"/>
      <c r="Y60" s="109"/>
    </row>
    <row r="61" spans="2:30" ht="15" customHeight="1" thickTop="1" thickBot="1">
      <c r="B61" s="113"/>
      <c r="C61" s="896" t="s">
        <v>292</v>
      </c>
      <c r="D61" s="897"/>
      <c r="E61" s="816" t="s">
        <v>293</v>
      </c>
      <c r="F61" s="522"/>
      <c r="G61" s="522"/>
      <c r="H61" s="522"/>
      <c r="I61" s="522"/>
      <c r="J61" s="522"/>
      <c r="K61" s="817"/>
      <c r="L61" s="1016">
        <v>-2</v>
      </c>
      <c r="M61" s="1017"/>
      <c r="N61" s="382"/>
      <c r="O61" s="205"/>
      <c r="P61" s="910" t="s">
        <v>245</v>
      </c>
      <c r="Q61" s="911"/>
      <c r="R61" s="347" t="s">
        <v>57</v>
      </c>
      <c r="S61" s="347" t="s">
        <v>55</v>
      </c>
      <c r="T61" s="347" t="s">
        <v>56</v>
      </c>
      <c r="U61" s="347" t="s">
        <v>52</v>
      </c>
      <c r="V61" s="347" t="s">
        <v>53</v>
      </c>
      <c r="W61" s="347" t="s">
        <v>54</v>
      </c>
      <c r="X61" s="348" t="s">
        <v>80</v>
      </c>
      <c r="Y61" s="123"/>
    </row>
    <row r="62" spans="2:30" ht="15" customHeight="1" thickTop="1">
      <c r="B62" s="136"/>
      <c r="C62" s="908" t="s">
        <v>294</v>
      </c>
      <c r="D62" s="909"/>
      <c r="E62" s="909"/>
      <c r="F62" s="909"/>
      <c r="G62" s="909"/>
      <c r="H62" s="909"/>
      <c r="I62" s="909"/>
      <c r="J62" s="909"/>
      <c r="K62" s="909"/>
      <c r="L62" s="909"/>
      <c r="M62" s="909"/>
      <c r="N62" s="909"/>
      <c r="O62" s="205"/>
      <c r="P62" s="912" t="str">
        <f>IF(SUM(R62:W62)&gt;0,"Completar...","Nueva  UTC")</f>
        <v>Nueva  UTC</v>
      </c>
      <c r="Q62" s="913"/>
      <c r="R62" s="352"/>
      <c r="S62" s="353"/>
      <c r="T62" s="354"/>
      <c r="U62" s="355"/>
      <c r="V62" s="356"/>
      <c r="W62" s="357"/>
      <c r="X62" s="887" t="str">
        <f>IF(SUM(R62:W62)&gt;0,"Borrar UTC","Fechar en UTC")</f>
        <v>Fechar en UTC</v>
      </c>
      <c r="Y62" s="123"/>
    </row>
    <row r="63" spans="2:30" ht="8.1" customHeight="1">
      <c r="B63" s="136"/>
      <c r="C63" s="199"/>
      <c r="D63" s="294"/>
      <c r="E63" s="294"/>
      <c r="F63" s="294"/>
      <c r="G63" s="294"/>
      <c r="H63" s="294"/>
      <c r="I63" s="294"/>
      <c r="J63" s="924"/>
      <c r="K63" s="925"/>
      <c r="L63" s="904"/>
      <c r="M63" s="904"/>
      <c r="N63" s="905"/>
      <c r="O63" s="205"/>
      <c r="P63" s="916"/>
      <c r="Q63" s="913"/>
      <c r="R63" s="901" t="s">
        <v>311</v>
      </c>
      <c r="S63" s="902"/>
      <c r="T63" s="902"/>
      <c r="U63" s="902"/>
      <c r="V63" s="902"/>
      <c r="W63" s="903"/>
      <c r="X63" s="888"/>
      <c r="Y63" s="123"/>
    </row>
    <row r="64" spans="2:30" ht="15" customHeight="1" thickBot="1">
      <c r="B64" s="136"/>
      <c r="C64" s="294"/>
      <c r="D64" s="1004"/>
      <c r="E64" s="1005"/>
      <c r="F64" s="1005"/>
      <c r="G64" s="1005"/>
      <c r="H64" s="1006"/>
      <c r="I64" s="294"/>
      <c r="J64" s="924"/>
      <c r="K64" s="925"/>
      <c r="L64" s="904"/>
      <c r="M64" s="904"/>
      <c r="N64" s="905"/>
      <c r="O64" s="205"/>
      <c r="P64" s="914" t="s">
        <v>168</v>
      </c>
      <c r="Q64" s="915"/>
      <c r="R64" s="359">
        <f ca="1">IF($R$62="",YEAR(NOW()),$R$62)</f>
        <v>2026</v>
      </c>
      <c r="S64" s="360">
        <f ca="1">IF(S62="",MONTH(NOW()),S62)</f>
        <v>7</v>
      </c>
      <c r="T64" s="361">
        <f ca="1">IF(T62="",DAY(TODAY()),T62)</f>
        <v>28</v>
      </c>
      <c r="U64" s="362">
        <f ca="1">IF(U62="",HOUR(NOW())+L61,U62+L61)</f>
        <v>4</v>
      </c>
      <c r="V64" s="363">
        <f ca="1">IF(V62="",MINUTE(NOW()),V62)</f>
        <v>56</v>
      </c>
      <c r="W64" s="360">
        <f ca="1">IF(W62="",SECOND(NOW()),W62)</f>
        <v>22</v>
      </c>
      <c r="X64" s="889"/>
      <c r="Y64" s="123"/>
    </row>
    <row r="65" spans="2:25" ht="15" customHeight="1">
      <c r="B65" s="113"/>
      <c r="C65" s="309"/>
      <c r="D65" s="1007"/>
      <c r="E65" s="1008"/>
      <c r="F65" s="1008"/>
      <c r="G65" s="1008"/>
      <c r="H65" s="1009"/>
      <c r="I65" s="117"/>
      <c r="J65" s="117"/>
      <c r="K65" s="117"/>
      <c r="L65" s="205"/>
      <c r="M65" s="205"/>
      <c r="N65" s="122"/>
      <c r="O65" s="206"/>
      <c r="P65" s="917" t="s">
        <v>78</v>
      </c>
      <c r="Q65" s="918"/>
      <c r="R65" s="898">
        <f ca="1">IF($S$64=1,(INT($U$69*($R$64+4712))+INT($U$70*($S$64+1))+$T$64+((($U$64*3600)+($V$64*60)+($W$64))/($U$71*3600))+(2-(INT($R$64/100))+INT((INT($R$64/100))/4))-P70),
IF($S$64=2,(INT($U$69*($R$64+4712))+INT($U$70*($S$64+1))+$T$64+((($U$64*3600)+($V$64*60)+($W$64))/($U$71*3600))+(2-(INT($R$64/100))+INT((INT($R$64/100))/4))-P70),(INT($U$69*($R$64+4712))+INT($U$70*($S$64+1))+$T$64+((($U$64*3600)+($V$64*60)+$W$64))/($U$71*3600))+(2-(INT($R$64/100))+INT((INT($R$64/100))/4))-P70))</f>
        <v>2461250.705806185</v>
      </c>
      <c r="S65" s="899"/>
      <c r="T65" s="899"/>
      <c r="U65" s="899"/>
      <c r="V65" s="899"/>
      <c r="W65" s="900"/>
      <c r="X65" s="1011" t="s">
        <v>77</v>
      </c>
      <c r="Y65" s="123"/>
    </row>
    <row r="66" spans="2:25" ht="15" customHeight="1" thickBot="1">
      <c r="B66" s="113"/>
      <c r="C66" s="386"/>
      <c r="D66" s="948" t="s">
        <v>200</v>
      </c>
      <c r="E66" s="949"/>
      <c r="F66" s="949"/>
      <c r="G66" s="949"/>
      <c r="H66" s="949"/>
      <c r="I66" s="117"/>
      <c r="J66" s="117"/>
      <c r="K66" s="117"/>
      <c r="L66" s="205"/>
      <c r="M66" s="205"/>
      <c r="N66" s="122"/>
      <c r="O66" s="110"/>
      <c r="P66" s="919" t="s">
        <v>79</v>
      </c>
      <c r="Q66" s="920"/>
      <c r="R66" s="893">
        <f ca="1">$R$64+($W$64/($X$70*$X$69*$U$71*$U$70*$U$69))+($V$64/($X$69*$U$71*$U$70*$U$69))+($U$64/($U$71*$U$70*$U$69))+($T$64/($U$70*$U$69))+($S$64/($U$69))</f>
        <v>2026.0217020659695</v>
      </c>
      <c r="S66" s="894"/>
      <c r="T66" s="894"/>
      <c r="U66" s="894"/>
      <c r="V66" s="894"/>
      <c r="W66" s="895"/>
      <c r="X66" s="1012"/>
      <c r="Y66" s="123"/>
    </row>
    <row r="67" spans="2:25" ht="15" customHeight="1" thickBot="1">
      <c r="B67" s="123"/>
      <c r="C67" s="938" t="s">
        <v>283</v>
      </c>
      <c r="D67" s="939"/>
      <c r="E67" s="939"/>
      <c r="F67" s="939"/>
      <c r="G67" s="939"/>
      <c r="H67" s="939"/>
      <c r="I67" s="939"/>
      <c r="J67" s="939"/>
      <c r="K67" s="117"/>
      <c r="L67" s="205"/>
      <c r="M67" s="205"/>
      <c r="N67" s="122"/>
      <c r="O67" s="117"/>
      <c r="P67" s="921"/>
      <c r="Q67" s="867"/>
      <c r="R67" s="364">
        <f ca="1">$R$64</f>
        <v>2026</v>
      </c>
      <c r="S67" s="365">
        <f ca="1">$S$64</f>
        <v>7</v>
      </c>
      <c r="T67" s="891">
        <f ca="1">$T$64+($W$64/($X$70*$X$69*$U$71))+($V$64/($X$69*$U$71))+($U$64/($U$71))</f>
        <v>28.205810185185186</v>
      </c>
      <c r="U67" s="892"/>
      <c r="V67" s="892"/>
      <c r="W67" s="366"/>
      <c r="X67" s="349" t="s">
        <v>56</v>
      </c>
      <c r="Y67" s="123"/>
    </row>
    <row r="68" spans="2:25" ht="15" customHeight="1" thickBot="1">
      <c r="B68" s="113"/>
      <c r="C68" s="135"/>
      <c r="D68" s="135"/>
      <c r="E68" s="135"/>
      <c r="F68" s="135"/>
      <c r="G68" s="135"/>
      <c r="H68" s="135"/>
      <c r="I68" s="135"/>
      <c r="J68" s="135"/>
      <c r="K68" s="1014" t="s">
        <v>278</v>
      </c>
      <c r="L68" s="1015"/>
      <c r="M68" s="1015"/>
      <c r="N68" s="1015"/>
      <c r="O68" s="292"/>
      <c r="P68" s="922"/>
      <c r="Q68" s="923"/>
      <c r="R68" s="367">
        <f ca="1">$R$64</f>
        <v>2026</v>
      </c>
      <c r="S68" s="368">
        <f ca="1">$S$64</f>
        <v>7</v>
      </c>
      <c r="T68" s="369">
        <f ca="1">$T$64</f>
        <v>28</v>
      </c>
      <c r="U68" s="972">
        <f ca="1">$U$64+($V$64/($X$69))+($W$64/($X$69*$X$70))</f>
        <v>4.9394444444444447</v>
      </c>
      <c r="V68" s="973"/>
      <c r="W68" s="974"/>
      <c r="X68" s="350" t="s">
        <v>74</v>
      </c>
      <c r="Y68" s="123"/>
    </row>
    <row r="69" spans="2:25" ht="15" hidden="1" customHeight="1" thickBot="1">
      <c r="B69" s="123"/>
      <c r="C69" s="1013" t="s">
        <v>116</v>
      </c>
      <c r="D69" s="1013"/>
      <c r="E69" s="1013"/>
      <c r="F69" s="1013"/>
      <c r="G69" s="1013"/>
      <c r="H69" s="1013"/>
      <c r="I69" s="1013"/>
      <c r="J69" s="1013"/>
      <c r="K69" s="1013"/>
      <c r="L69" s="1013"/>
      <c r="M69" s="339"/>
      <c r="N69" s="207"/>
      <c r="O69" s="117"/>
      <c r="P69" s="208"/>
      <c r="Q69" s="208"/>
      <c r="R69" s="821" t="s">
        <v>98</v>
      </c>
      <c r="S69" s="818" t="s">
        <v>1</v>
      </c>
      <c r="T69" s="125" t="s">
        <v>77</v>
      </c>
      <c r="U69" s="966">
        <v>365.25</v>
      </c>
      <c r="V69" s="967"/>
      <c r="W69" s="126" t="s">
        <v>74</v>
      </c>
      <c r="X69" s="127">
        <v>60</v>
      </c>
      <c r="Y69" s="109"/>
    </row>
    <row r="70" spans="2:25" ht="15" hidden="1" customHeight="1" thickTop="1" thickBot="1">
      <c r="B70" s="123"/>
      <c r="C70" s="207"/>
      <c r="D70" s="207"/>
      <c r="E70" s="207"/>
      <c r="F70" s="207"/>
      <c r="G70" s="207"/>
      <c r="H70" s="207"/>
      <c r="I70" s="207"/>
      <c r="J70" s="207"/>
      <c r="K70" s="207"/>
      <c r="L70" s="207"/>
      <c r="M70" s="207"/>
      <c r="N70" s="207"/>
      <c r="O70" s="117"/>
      <c r="P70" s="209">
        <v>61.500003999999997</v>
      </c>
      <c r="Q70" s="209"/>
      <c r="R70" s="821"/>
      <c r="S70" s="819"/>
      <c r="T70" s="128" t="s">
        <v>55</v>
      </c>
      <c r="U70" s="968">
        <f>U69/12</f>
        <v>30.4375</v>
      </c>
      <c r="V70" s="969"/>
      <c r="W70" s="129" t="s">
        <v>75</v>
      </c>
      <c r="X70" s="130">
        <v>60</v>
      </c>
      <c r="Y70" s="106"/>
    </row>
    <row r="71" spans="2:25" ht="15" hidden="1" customHeight="1" thickTop="1" thickBot="1">
      <c r="B71" s="123"/>
      <c r="C71" s="207"/>
      <c r="D71" s="207"/>
      <c r="E71" s="207"/>
      <c r="F71" s="207"/>
      <c r="G71" s="207"/>
      <c r="H71" s="207"/>
      <c r="I71" s="207"/>
      <c r="J71" s="207"/>
      <c r="K71" s="207"/>
      <c r="L71" s="207"/>
      <c r="M71" s="207"/>
      <c r="N71" s="207"/>
      <c r="O71" s="117"/>
      <c r="P71" s="210" t="s">
        <v>180</v>
      </c>
      <c r="Q71" s="210"/>
      <c r="R71" s="821"/>
      <c r="S71" s="820"/>
      <c r="T71" s="131" t="s">
        <v>56</v>
      </c>
      <c r="U71" s="970">
        <v>24</v>
      </c>
      <c r="V71" s="971"/>
      <c r="W71" s="132" t="s">
        <v>76</v>
      </c>
      <c r="X71" s="133" t="s">
        <v>51</v>
      </c>
      <c r="Y71" s="106"/>
    </row>
    <row r="72" spans="2:25" s="310" customFormat="1" ht="15" customHeight="1" thickTop="1" thickBot="1">
      <c r="B72" s="484"/>
      <c r="C72" s="582" t="s">
        <v>350</v>
      </c>
      <c r="D72" s="583"/>
      <c r="E72" s="583"/>
      <c r="F72" s="583"/>
      <c r="G72" s="583"/>
      <c r="H72" s="583"/>
      <c r="I72" s="584" t="s">
        <v>277</v>
      </c>
      <c r="J72" s="585"/>
      <c r="K72" s="585"/>
      <c r="L72" s="585"/>
      <c r="M72" s="585"/>
      <c r="N72" s="585"/>
      <c r="O72" s="585"/>
      <c r="P72" s="585"/>
      <c r="Q72" s="585"/>
      <c r="R72" s="585"/>
      <c r="S72" s="585"/>
      <c r="T72" s="585"/>
      <c r="U72" s="585"/>
      <c r="V72" s="585"/>
      <c r="W72" s="585"/>
      <c r="X72" s="585"/>
      <c r="Y72" s="315"/>
    </row>
    <row r="73" spans="2:25">
      <c r="B73" s="952"/>
      <c r="C73" s="522"/>
      <c r="P73" s="134"/>
      <c r="Q73" s="134"/>
    </row>
    <row r="74" spans="2:25">
      <c r="B74" s="950" t="s">
        <v>205</v>
      </c>
      <c r="C74" s="951"/>
      <c r="I74" s="146"/>
      <c r="J74" s="927"/>
      <c r="K74" s="522"/>
      <c r="L74" s="522"/>
      <c r="M74" s="522"/>
      <c r="N74" s="522"/>
      <c r="P74" s="103"/>
      <c r="Q74" s="103"/>
      <c r="R74" s="137"/>
    </row>
    <row r="75" spans="2:25">
      <c r="G75" s="429"/>
      <c r="I75" s="147"/>
      <c r="J75" s="926"/>
      <c r="K75" s="522"/>
      <c r="L75" s="522"/>
      <c r="M75" s="190"/>
      <c r="N75" s="373"/>
      <c r="O75" s="138"/>
      <c r="P75" s="138"/>
      <c r="Q75" s="138"/>
      <c r="R75" s="138"/>
      <c r="S75" s="138"/>
      <c r="T75" s="138"/>
      <c r="U75" s="138"/>
      <c r="V75" s="138"/>
      <c r="W75" s="138"/>
      <c r="X75" s="138"/>
    </row>
    <row r="76" spans="2:25">
      <c r="H76" s="148"/>
      <c r="I76" s="146"/>
      <c r="J76" s="926"/>
      <c r="K76" s="522"/>
      <c r="L76" s="522"/>
      <c r="M76" s="190"/>
    </row>
  </sheetData>
  <sheetProtection algorithmName="SHA-512" hashValue="2MP6/n9zz67QAHEY+uleSkdv35fnV8G86MfHLvaBksTWqenuI8m3qp7UHLhoY72aMqoj3y/8A0FOtsRz9OdEaA==" saltValue="jxoiqgLL9EWMfzkpOYYorA==" spinCount="100000" sheet="1" formatCells="0" formatColumns="0" formatRows="0" insertColumns="0" insertRows="0" insertHyperlinks="0" deleteColumns="0" deleteRows="0" sort="0" autoFilter="0" pivotTables="0"/>
  <mergeCells count="209">
    <mergeCell ref="U71:V71"/>
    <mergeCell ref="U68:W68"/>
    <mergeCell ref="M39:N39"/>
    <mergeCell ref="J43:N43"/>
    <mergeCell ref="P23:X25"/>
    <mergeCell ref="P27:X31"/>
    <mergeCell ref="I50:J50"/>
    <mergeCell ref="N59:P59"/>
    <mergeCell ref="S59:V59"/>
    <mergeCell ref="C42:N42"/>
    <mergeCell ref="G41:I41"/>
    <mergeCell ref="J41:L41"/>
    <mergeCell ref="K23:N23"/>
    <mergeCell ref="C37:N37"/>
    <mergeCell ref="K25:N25"/>
    <mergeCell ref="G26:J26"/>
    <mergeCell ref="G25:J25"/>
    <mergeCell ref="D64:H65"/>
    <mergeCell ref="C59:F59"/>
    <mergeCell ref="X65:X66"/>
    <mergeCell ref="C69:L69"/>
    <mergeCell ref="K68:N68"/>
    <mergeCell ref="L61:M61"/>
    <mergeCell ref="L63:N63"/>
    <mergeCell ref="J76:L76"/>
    <mergeCell ref="J74:N74"/>
    <mergeCell ref="J75:L75"/>
    <mergeCell ref="M50:N50"/>
    <mergeCell ref="M52:N52"/>
    <mergeCell ref="L59:M59"/>
    <mergeCell ref="M49:N49"/>
    <mergeCell ref="K50:L50"/>
    <mergeCell ref="C67:J67"/>
    <mergeCell ref="H52:I52"/>
    <mergeCell ref="E49:F49"/>
    <mergeCell ref="C49:D49"/>
    <mergeCell ref="G50:H50"/>
    <mergeCell ref="D66:H66"/>
    <mergeCell ref="B74:C74"/>
    <mergeCell ref="B73:C73"/>
    <mergeCell ref="C56:N56"/>
    <mergeCell ref="H57:J57"/>
    <mergeCell ref="C58:X58"/>
    <mergeCell ref="P53:X57"/>
    <mergeCell ref="C57:F57"/>
    <mergeCell ref="U69:V69"/>
    <mergeCell ref="J64:K64"/>
    <mergeCell ref="U70:V70"/>
    <mergeCell ref="X62:X64"/>
    <mergeCell ref="O60:X60"/>
    <mergeCell ref="T67:V67"/>
    <mergeCell ref="R66:W66"/>
    <mergeCell ref="C61:D61"/>
    <mergeCell ref="R65:W65"/>
    <mergeCell ref="R63:W63"/>
    <mergeCell ref="L64:N64"/>
    <mergeCell ref="C60:N60"/>
    <mergeCell ref="C62:N62"/>
    <mergeCell ref="P61:Q61"/>
    <mergeCell ref="P62:Q62"/>
    <mergeCell ref="P64:Q64"/>
    <mergeCell ref="P63:Q63"/>
    <mergeCell ref="P65:Q65"/>
    <mergeCell ref="P66:Q68"/>
    <mergeCell ref="J63:K63"/>
    <mergeCell ref="Q59:R59"/>
    <mergeCell ref="E61:K61"/>
    <mergeCell ref="S69:S71"/>
    <mergeCell ref="R69:R71"/>
    <mergeCell ref="G27:J27"/>
    <mergeCell ref="K27:N27"/>
    <mergeCell ref="K28:N28"/>
    <mergeCell ref="P33:W35"/>
    <mergeCell ref="L36:M36"/>
    <mergeCell ref="G49:H49"/>
    <mergeCell ref="I49:J49"/>
    <mergeCell ref="G48:N48"/>
    <mergeCell ref="K49:L49"/>
    <mergeCell ref="P52:X52"/>
    <mergeCell ref="C52:G52"/>
    <mergeCell ref="K54:N54"/>
    <mergeCell ref="P37:X40"/>
    <mergeCell ref="P41:X45"/>
    <mergeCell ref="P46:X51"/>
    <mergeCell ref="P36:W36"/>
    <mergeCell ref="C27:F27"/>
    <mergeCell ref="D39:F39"/>
    <mergeCell ref="D40:F41"/>
    <mergeCell ref="C50:F50"/>
    <mergeCell ref="G30:J30"/>
    <mergeCell ref="K24:N24"/>
    <mergeCell ref="G46:H46"/>
    <mergeCell ref="L44:N44"/>
    <mergeCell ref="J40:L40"/>
    <mergeCell ref="C44:K44"/>
    <mergeCell ref="C47:F47"/>
    <mergeCell ref="G40:I40"/>
    <mergeCell ref="C32:F32"/>
    <mergeCell ref="M33:N33"/>
    <mergeCell ref="G31:J31"/>
    <mergeCell ref="C29:N29"/>
    <mergeCell ref="D24:F24"/>
    <mergeCell ref="C26:F26"/>
    <mergeCell ref="C38:F38"/>
    <mergeCell ref="D25:F25"/>
    <mergeCell ref="G28:J28"/>
    <mergeCell ref="E30:F30"/>
    <mergeCell ref="C30:D31"/>
    <mergeCell ref="D8:F8"/>
    <mergeCell ref="C16:F16"/>
    <mergeCell ref="K13:N13"/>
    <mergeCell ref="C14:F14"/>
    <mergeCell ref="K8:N8"/>
    <mergeCell ref="G8:H8"/>
    <mergeCell ref="I8:J8"/>
    <mergeCell ref="C18:C19"/>
    <mergeCell ref="C17:N17"/>
    <mergeCell ref="K18:N18"/>
    <mergeCell ref="D19:F19"/>
    <mergeCell ref="D18:F18"/>
    <mergeCell ref="G18:J18"/>
    <mergeCell ref="R9:V9"/>
    <mergeCell ref="K16:N16"/>
    <mergeCell ref="P12:X17"/>
    <mergeCell ref="W9:X9"/>
    <mergeCell ref="W8:X8"/>
    <mergeCell ref="G10:J11"/>
    <mergeCell ref="P10:W10"/>
    <mergeCell ref="G12:N12"/>
    <mergeCell ref="G7:H7"/>
    <mergeCell ref="I7:J7"/>
    <mergeCell ref="G16:J16"/>
    <mergeCell ref="P8:Q8"/>
    <mergeCell ref="K15:N15"/>
    <mergeCell ref="G13:J13"/>
    <mergeCell ref="G15:J15"/>
    <mergeCell ref="K14:N14"/>
    <mergeCell ref="G5:N5"/>
    <mergeCell ref="C9:N9"/>
    <mergeCell ref="G14:J14"/>
    <mergeCell ref="S1:T1"/>
    <mergeCell ref="C6:C8"/>
    <mergeCell ref="K6:N6"/>
    <mergeCell ref="C10:F11"/>
    <mergeCell ref="C4:N4"/>
    <mergeCell ref="P4:X4"/>
    <mergeCell ref="D6:F7"/>
    <mergeCell ref="G6:J6"/>
    <mergeCell ref="W5:X5"/>
    <mergeCell ref="D5:F5"/>
    <mergeCell ref="W7:X7"/>
    <mergeCell ref="K7:N7"/>
    <mergeCell ref="C3:W3"/>
    <mergeCell ref="C2:X2"/>
    <mergeCell ref="P6:V6"/>
    <mergeCell ref="K10:N11"/>
    <mergeCell ref="P5:V5"/>
    <mergeCell ref="P7:Q7"/>
    <mergeCell ref="R7:V7"/>
    <mergeCell ref="R8:V8"/>
    <mergeCell ref="P9:Q9"/>
    <mergeCell ref="C72:H72"/>
    <mergeCell ref="I72:X72"/>
    <mergeCell ref="C23:F23"/>
    <mergeCell ref="I46:J46"/>
    <mergeCell ref="C45:K45"/>
    <mergeCell ref="G38:N38"/>
    <mergeCell ref="C35:N35"/>
    <mergeCell ref="C36:J36"/>
    <mergeCell ref="K32:N32"/>
    <mergeCell ref="G32:J32"/>
    <mergeCell ref="L45:N45"/>
    <mergeCell ref="K31:N31"/>
    <mergeCell ref="G33:L33"/>
    <mergeCell ref="G23:J23"/>
    <mergeCell ref="C34:M34"/>
    <mergeCell ref="C33:F33"/>
    <mergeCell ref="C46:F46"/>
    <mergeCell ref="C24:C25"/>
    <mergeCell ref="C28:F28"/>
    <mergeCell ref="K46:L46"/>
    <mergeCell ref="G39:I39"/>
    <mergeCell ref="J39:L39"/>
    <mergeCell ref="M40:N41"/>
    <mergeCell ref="G47:H47"/>
    <mergeCell ref="AB56:AC56"/>
    <mergeCell ref="E31:F31"/>
    <mergeCell ref="AA10:AC10"/>
    <mergeCell ref="C15:F15"/>
    <mergeCell ref="C13:F13"/>
    <mergeCell ref="D21:F21"/>
    <mergeCell ref="C22:F22"/>
    <mergeCell ref="P19:X21"/>
    <mergeCell ref="E20:F20"/>
    <mergeCell ref="I20:J20"/>
    <mergeCell ref="G20:H20"/>
    <mergeCell ref="I22:J22"/>
    <mergeCell ref="G21:J21"/>
    <mergeCell ref="K21:N21"/>
    <mergeCell ref="C20:C21"/>
    <mergeCell ref="K22:N22"/>
    <mergeCell ref="K20:N20"/>
    <mergeCell ref="H19:J19"/>
    <mergeCell ref="L19:N19"/>
    <mergeCell ref="I47:J47"/>
    <mergeCell ref="M46:N46"/>
    <mergeCell ref="K30:N30"/>
    <mergeCell ref="K26:N26"/>
    <mergeCell ref="G24:J24"/>
  </mergeCells>
  <phoneticPr fontId="0" type="noConversion"/>
  <conditionalFormatting sqref="C60 P69:Q69 P71:Q71">
    <cfRule type="cellIs" priority="81" stopIfTrue="1" operator="lessThan">
      <formula>1</formula>
    </cfRule>
  </conditionalFormatting>
  <conditionalFormatting sqref="C40:D40 G40:G41 J40:J41 C41">
    <cfRule type="expression" dxfId="39" priority="101" stopIfTrue="1">
      <formula>"si(e31=""24x36"";"""""</formula>
    </cfRule>
  </conditionalFormatting>
  <conditionalFormatting sqref="G13">
    <cfRule type="cellIs" dxfId="38" priority="120" stopIfTrue="1" operator="equal">
      <formula>"df Ocular ?"</formula>
    </cfRule>
  </conditionalFormatting>
  <conditionalFormatting sqref="G24">
    <cfRule type="cellIs" dxfId="37" priority="110" stopIfTrue="1" operator="equal">
      <formula>"Supera aumento"</formula>
    </cfRule>
  </conditionalFormatting>
  <conditionalFormatting sqref="G25">
    <cfRule type="cellIs" dxfId="36" priority="111" stopIfTrue="1" operator="equal">
      <formula>"Ocular df ?"</formula>
    </cfRule>
  </conditionalFormatting>
  <conditionalFormatting sqref="G26:G27">
    <cfRule type="cellIs" dxfId="35" priority="108" stopIfTrue="1" operator="equal">
      <formula>"-"</formula>
    </cfRule>
  </conditionalFormatting>
  <conditionalFormatting sqref="G46 I46 M46">
    <cfRule type="expression" dxfId="34" priority="792" stopIfTrue="1">
      <formula>$L$45="B/N"</formula>
    </cfRule>
  </conditionalFormatting>
  <conditionalFormatting sqref="K24:K25">
    <cfRule type="cellIs" dxfId="33" priority="106" stopIfTrue="1" operator="equal">
      <formula>"?"</formula>
    </cfRule>
    <cfRule type="cellIs" dxfId="32" priority="107" stopIfTrue="1" operator="equal">
      <formula>"-"</formula>
    </cfRule>
  </conditionalFormatting>
  <conditionalFormatting sqref="K26:K27">
    <cfRule type="expression" dxfId="31" priority="338" stopIfTrue="1">
      <formula>#REF!&lt;0.04</formula>
    </cfRule>
  </conditionalFormatting>
  <conditionalFormatting sqref="K52">
    <cfRule type="expression" dxfId="30" priority="86" stopIfTrue="1">
      <formula>$V$7&gt;16</formula>
    </cfRule>
  </conditionalFormatting>
  <conditionalFormatting sqref="K14:N14">
    <cfRule type="expression" dxfId="29" priority="25">
      <formula>$K$14&gt;3.5</formula>
    </cfRule>
    <cfRule type="expression" dxfId="28" priority="27">
      <formula>$K$14&gt;0.51</formula>
    </cfRule>
    <cfRule type="expression" dxfId="27" priority="28">
      <formula>$K$14&lt;=0.5</formula>
    </cfRule>
  </conditionalFormatting>
  <conditionalFormatting sqref="K22:N22">
    <cfRule type="cellIs" dxfId="26" priority="112" stopIfTrue="1" operator="equal">
      <formula>"Distancia &gt;&gt;"</formula>
    </cfRule>
  </conditionalFormatting>
  <conditionalFormatting sqref="L44:M44">
    <cfRule type="expression" dxfId="25" priority="785" stopIfTrue="1">
      <formula>#REF!="B"</formula>
    </cfRule>
  </conditionalFormatting>
  <conditionalFormatting sqref="O6:O8 O18:O31 O54:O56 Y57:Y59">
    <cfRule type="expression" dxfId="24" priority="84" stopIfTrue="1">
      <formula>#REF!&gt;22.5</formula>
    </cfRule>
  </conditionalFormatting>
  <conditionalFormatting sqref="O13:O15">
    <cfRule type="expression" dxfId="23" priority="118" stopIfTrue="1">
      <formula>"?"</formula>
    </cfRule>
    <cfRule type="expression" dxfId="22" priority="119" stopIfTrue="1">
      <formula>#REF!&gt;22.5</formula>
    </cfRule>
  </conditionalFormatting>
  <conditionalFormatting sqref="O16:O17">
    <cfRule type="cellIs" dxfId="21" priority="114" stopIfTrue="1" operator="between">
      <formula>1.5</formula>
      <formula>4.5</formula>
    </cfRule>
    <cfRule type="cellIs" dxfId="20" priority="115" stopIfTrue="1" operator="between">
      <formula>4.5</formula>
      <formula>10.5</formula>
    </cfRule>
    <cfRule type="cellIs" dxfId="19" priority="116" stopIfTrue="1" operator="between">
      <formula>10.5</formula>
      <formula>22.5</formula>
    </cfRule>
  </conditionalFormatting>
  <conditionalFormatting sqref="O45:O46">
    <cfRule type="expression" dxfId="18" priority="63" stopIfTrue="1">
      <formula>#REF!="E"</formula>
    </cfRule>
  </conditionalFormatting>
  <conditionalFormatting sqref="P7">
    <cfRule type="expression" dxfId="17" priority="117" stopIfTrue="1">
      <formula>#REF!&gt;0</formula>
    </cfRule>
  </conditionalFormatting>
  <conditionalFormatting sqref="P8 R8">
    <cfRule type="expression" dxfId="16" priority="17">
      <formula>$P$7="CIELO PROFUNDO"</formula>
    </cfRule>
    <cfRule type="expression" dxfId="15" priority="18">
      <formula>$P$7="MESSIER"</formula>
    </cfRule>
    <cfRule type="expression" dxfId="14" priority="19">
      <formula>$P$7="SISTEMA SOLAR"</formula>
    </cfRule>
    <cfRule type="expression" dxfId="13" priority="20">
      <formula>$P$7="MANCHAS EN SOL"</formula>
    </cfRule>
    <cfRule type="expression" dxfId="12" priority="21" stopIfTrue="1">
      <formula>$P$7="SATURNO"</formula>
    </cfRule>
    <cfRule type="expression" dxfId="11" priority="22" stopIfTrue="1">
      <formula>$P$7="JÚPITER"</formula>
    </cfRule>
    <cfRule type="expression" dxfId="10" priority="24" stopIfTrue="1">
      <formula>$P$7="LUNA"</formula>
    </cfRule>
  </conditionalFormatting>
  <conditionalFormatting sqref="P9">
    <cfRule type="expression" dxfId="9" priority="635" stopIfTrue="1">
      <formula>IF($P$7="LUNA",E27)</formula>
    </cfRule>
    <cfRule type="expression" dxfId="8" priority="636" stopIfTrue="1">
      <formula>IF($P$7="SOL",E34)</formula>
    </cfRule>
    <cfRule type="expression" dxfId="7" priority="637" stopIfTrue="1">
      <formula>IF($P$7="",F34)</formula>
    </cfRule>
  </conditionalFormatting>
  <conditionalFormatting sqref="P62:P63">
    <cfRule type="cellIs" dxfId="6" priority="90" stopIfTrue="1" operator="equal">
      <formula>"""Borrar →"""</formula>
    </cfRule>
  </conditionalFormatting>
  <conditionalFormatting sqref="P64">
    <cfRule type="cellIs" dxfId="5" priority="89" stopIfTrue="1" operator="equal">
      <formula>"""Borrar →"""</formula>
    </cfRule>
  </conditionalFormatting>
  <conditionalFormatting sqref="W8">
    <cfRule type="expression" dxfId="4" priority="126" stopIfTrue="1">
      <formula>IF($W$7=0,"Mag. Visual ?","")</formula>
    </cfRule>
  </conditionalFormatting>
  <conditionalFormatting sqref="X10">
    <cfRule type="cellIs" dxfId="3" priority="219" stopIfTrue="1" operator="between">
      <formula>10</formula>
      <formula>7</formula>
    </cfRule>
    <cfRule type="cellIs" dxfId="2" priority="220" stopIfTrue="1" operator="between">
      <formula>6.99</formula>
      <formula>5</formula>
    </cfRule>
    <cfRule type="cellIs" dxfId="1" priority="221" stopIfTrue="1" operator="lessThan">
      <formula>5</formula>
    </cfRule>
  </conditionalFormatting>
  <conditionalFormatting sqref="Y44:Y46">
    <cfRule type="expression" dxfId="0" priority="96" stopIfTrue="1">
      <formula>#REF!="V"</formula>
    </cfRule>
  </conditionalFormatting>
  <hyperlinks>
    <hyperlink ref="G32:H32" r:id="rId1" display="TABLA_06" xr:uid="{00000000-0004-0000-0000-000000000000}"/>
    <hyperlink ref="D66" r:id="rId2" display="http://www.astropractica.org" xr:uid="{00000000-0004-0000-0000-000005000000}"/>
    <hyperlink ref="C33:D33" r:id="rId3" location="%transferencia" display="Filtros  % Transmisión" xr:uid="{00000000-0004-0000-0000-000007000000}"/>
    <hyperlink ref="C67:E67" r:id="rId4" display="mailto:jmp.astropractica@gmail.com" xr:uid="{DD7D51BC-82EB-4092-AECD-CBE376F2F5A8}"/>
    <hyperlink ref="K68" r:id="rId5" display="Actualizar esta tabla 01.xlsx" xr:uid="{8D4023B9-EFFE-4D3E-80E1-D0B5ABE4D0F3}"/>
    <hyperlink ref="X3" r:id="rId6" xr:uid="{491E743B-0B6C-4FF3-BB2B-F45747AE7D8A}"/>
    <hyperlink ref="C61:D61" r:id="rId7" display="Cambio de hora" xr:uid="{4A65576C-C594-420B-903D-2F857CA022A8}"/>
  </hyperlinks>
  <printOptions horizontalCentered="1"/>
  <pageMargins left="0" right="0" top="0" bottom="0" header="0" footer="0"/>
  <pageSetup paperSize="9" scale="37" orientation="landscape" horizontalDpi="200" verticalDpi="200" r:id="rId8"/>
  <headerFooter scaleWithDoc="0" alignWithMargins="0"/>
  <cellWatches>
    <cellWatch r="W7"/>
  </cellWatches>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00C20-45D1-4D5E-A9A6-B9CE576EBCAA}">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F67A46-BCC3-47D5-88B0-5E7A33ED7919}">
  <dimension ref="A1"/>
  <sheetViews>
    <sheetView workbookViewId="0"/>
  </sheetViews>
  <sheetFormatPr baseColWidth="10" defaultRowHeight="1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B1:U81"/>
  <sheetViews>
    <sheetView showGridLines="0" showRowColHeaders="0" topLeftCell="A19" zoomScaleNormal="100" zoomScaleSheetLayoutView="100" workbookViewId="0">
      <selection activeCell="E25" sqref="E25"/>
    </sheetView>
  </sheetViews>
  <sheetFormatPr baseColWidth="10" defaultColWidth="12.77734375" defaultRowHeight="14.25"/>
  <cols>
    <col min="1" max="1" width="12.77734375" style="64"/>
    <col min="2" max="2" width="1" style="64" customWidth="1"/>
    <col min="3" max="3" width="12.33203125" style="64" customWidth="1"/>
    <col min="4" max="4" width="1.5546875" style="64" customWidth="1"/>
    <col min="5" max="5" width="14.77734375" style="64" customWidth="1"/>
    <col min="6" max="6" width="15.33203125" style="64" customWidth="1"/>
    <col min="7" max="7" width="13.77734375" style="64" customWidth="1"/>
    <col min="8" max="8" width="2.33203125" style="64" customWidth="1"/>
    <col min="9" max="10" width="6.77734375" style="64" customWidth="1"/>
    <col min="11" max="12" width="7.33203125" style="64" customWidth="1"/>
    <col min="13" max="13" width="5.77734375" style="73" customWidth="1"/>
    <col min="14" max="14" width="3.6640625" style="64" customWidth="1"/>
    <col min="15" max="15" width="0.88671875" style="64" hidden="1" customWidth="1"/>
    <col min="16" max="16" width="11.21875" style="64" customWidth="1"/>
    <col min="17" max="17" width="1" style="64" customWidth="1"/>
    <col min="18" max="18" width="8.21875" style="64" customWidth="1"/>
    <col min="19" max="16384" width="12.77734375" style="64"/>
  </cols>
  <sheetData>
    <row r="1" spans="2:17" ht="15" thickBot="1"/>
    <row r="2" spans="2:17" ht="9.9499999999999993" customHeight="1" thickTop="1">
      <c r="B2" s="63"/>
      <c r="C2" s="1104" t="s">
        <v>167</v>
      </c>
      <c r="D2" s="1104"/>
      <c r="E2" s="1105"/>
      <c r="F2" s="1105"/>
      <c r="G2" s="1105"/>
      <c r="H2" s="1105"/>
      <c r="I2" s="1105"/>
      <c r="J2" s="1105"/>
      <c r="K2" s="1105"/>
      <c r="L2" s="1105"/>
      <c r="M2" s="1105"/>
      <c r="N2" s="1105"/>
      <c r="O2" s="1105"/>
      <c r="P2" s="1105"/>
      <c r="Q2" s="1106"/>
    </row>
    <row r="3" spans="2:17" s="71" customFormat="1" ht="30" customHeight="1">
      <c r="B3" s="468"/>
      <c r="C3" s="1107"/>
      <c r="D3" s="1107"/>
      <c r="E3" s="1107"/>
      <c r="F3" s="1107"/>
      <c r="G3" s="1107"/>
      <c r="H3" s="1107"/>
      <c r="I3" s="1107"/>
      <c r="J3" s="1107"/>
      <c r="K3" s="1107"/>
      <c r="L3" s="1107"/>
      <c r="M3" s="1107"/>
      <c r="N3" s="1107"/>
      <c r="O3" s="1107"/>
      <c r="P3" s="1107"/>
      <c r="Q3" s="1108"/>
    </row>
    <row r="4" spans="2:17" ht="20.100000000000001" customHeight="1">
      <c r="B4" s="77"/>
      <c r="C4" s="1109" t="s">
        <v>171</v>
      </c>
      <c r="D4" s="1109"/>
      <c r="E4" s="1110"/>
      <c r="F4" s="1110"/>
      <c r="G4" s="1110"/>
      <c r="H4" s="1110"/>
      <c r="I4" s="1110"/>
      <c r="J4" s="1110"/>
      <c r="K4" s="1110"/>
      <c r="L4" s="1110"/>
      <c r="M4" s="1110"/>
      <c r="N4" s="1110"/>
      <c r="O4" s="1110"/>
      <c r="P4" s="1110"/>
      <c r="Q4" s="1111"/>
    </row>
    <row r="5" spans="2:17" ht="9.9499999999999993" customHeight="1">
      <c r="B5" s="77"/>
      <c r="C5" s="1110"/>
      <c r="D5" s="1110"/>
      <c r="E5" s="1110"/>
      <c r="F5" s="1110"/>
      <c r="G5" s="1110"/>
      <c r="H5" s="1110"/>
      <c r="I5" s="1110"/>
      <c r="J5" s="1110"/>
      <c r="K5" s="1110"/>
      <c r="L5" s="1110"/>
      <c r="M5" s="1110"/>
      <c r="N5" s="1110"/>
      <c r="O5" s="1110"/>
      <c r="P5" s="1110"/>
      <c r="Q5" s="1111"/>
    </row>
    <row r="6" spans="2:17" s="68" customFormat="1" ht="20.100000000000001" customHeight="1">
      <c r="B6" s="78"/>
      <c r="C6" s="1112" t="s">
        <v>177</v>
      </c>
      <c r="D6" s="1112"/>
      <c r="E6" s="1113"/>
      <c r="F6" s="1113"/>
      <c r="G6" s="1113"/>
      <c r="H6" s="1113"/>
      <c r="I6" s="1113"/>
      <c r="J6" s="1113"/>
      <c r="K6" s="1113"/>
      <c r="L6" s="1113"/>
      <c r="M6" s="155"/>
      <c r="N6" s="155"/>
      <c r="O6" s="76"/>
      <c r="P6" s="76"/>
      <c r="Q6" s="79"/>
    </row>
    <row r="7" spans="2:17" s="68" customFormat="1" ht="22.9" customHeight="1">
      <c r="B7" s="78"/>
      <c r="C7" s="1113"/>
      <c r="D7" s="1113"/>
      <c r="E7" s="1113"/>
      <c r="F7" s="1113"/>
      <c r="G7" s="1113"/>
      <c r="H7" s="1113"/>
      <c r="I7" s="1113"/>
      <c r="J7" s="1113"/>
      <c r="K7" s="1113"/>
      <c r="L7" s="1113"/>
      <c r="M7" s="157"/>
      <c r="N7" s="157"/>
      <c r="O7" s="76"/>
      <c r="P7" s="76"/>
      <c r="Q7" s="79"/>
    </row>
    <row r="8" spans="2:17" s="68" customFormat="1" ht="20.100000000000001" customHeight="1">
      <c r="B8" s="78"/>
      <c r="C8" s="1112" t="s">
        <v>251</v>
      </c>
      <c r="D8" s="1112"/>
      <c r="E8" s="1113"/>
      <c r="F8" s="1113"/>
      <c r="G8" s="1113"/>
      <c r="H8" s="1113"/>
      <c r="I8" s="1113"/>
      <c r="J8" s="1113"/>
      <c r="K8" s="1113"/>
      <c r="L8" s="1113"/>
      <c r="M8" s="155"/>
      <c r="N8" s="155"/>
      <c r="O8" s="76"/>
      <c r="P8" s="76"/>
      <c r="Q8" s="80"/>
    </row>
    <row r="9" spans="2:17" s="68" customFormat="1" ht="20.100000000000001" customHeight="1">
      <c r="B9" s="78"/>
      <c r="C9" s="1113"/>
      <c r="D9" s="1113"/>
      <c r="E9" s="1113"/>
      <c r="F9" s="1113"/>
      <c r="G9" s="1113"/>
      <c r="H9" s="1113"/>
      <c r="I9" s="1113"/>
      <c r="J9" s="1113"/>
      <c r="K9" s="1113"/>
      <c r="L9" s="1113"/>
      <c r="M9" s="155"/>
      <c r="N9" s="155"/>
      <c r="O9" s="76"/>
      <c r="P9" s="76"/>
      <c r="Q9" s="81"/>
    </row>
    <row r="10" spans="2:17" s="68" customFormat="1" ht="5.25" customHeight="1" thickBot="1">
      <c r="B10" s="78"/>
      <c r="C10" s="155"/>
      <c r="D10" s="155"/>
      <c r="E10" s="169"/>
      <c r="F10" s="155"/>
      <c r="G10" s="155"/>
      <c r="H10" s="155"/>
      <c r="I10" s="155"/>
      <c r="J10" s="155"/>
      <c r="K10" s="155"/>
      <c r="L10" s="155"/>
      <c r="M10" s="155"/>
      <c r="N10" s="155"/>
      <c r="O10" s="76"/>
      <c r="P10" s="171"/>
      <c r="Q10" s="82"/>
    </row>
    <row r="11" spans="2:17" ht="15" customHeight="1" thickTop="1">
      <c r="B11" s="78"/>
      <c r="C11" s="203" t="s">
        <v>249</v>
      </c>
      <c r="D11" s="84"/>
      <c r="E11" s="289">
        <v>0.25</v>
      </c>
      <c r="F11" s="1116" t="s">
        <v>266</v>
      </c>
      <c r="G11" s="1117"/>
      <c r="H11" s="1117"/>
      <c r="I11" s="1117"/>
      <c r="J11" s="1117"/>
      <c r="K11" s="1117"/>
      <c r="L11" s="1117"/>
      <c r="M11" s="1114"/>
      <c r="N11" s="1115"/>
      <c r="O11" s="168"/>
      <c r="P11" s="168"/>
      <c r="Q11" s="83"/>
    </row>
    <row r="12" spans="2:17" ht="15" customHeight="1" thickBot="1">
      <c r="B12" s="78"/>
      <c r="C12" s="182" t="s">
        <v>250</v>
      </c>
      <c r="D12" s="75"/>
      <c r="E12" s="290">
        <v>14.322520000000001</v>
      </c>
      <c r="F12" s="1117"/>
      <c r="G12" s="1117"/>
      <c r="H12" s="1117"/>
      <c r="I12" s="1117"/>
      <c r="J12" s="1117"/>
      <c r="K12" s="1117"/>
      <c r="L12" s="1117"/>
      <c r="M12" s="1115"/>
      <c r="N12" s="1115"/>
      <c r="O12" s="76"/>
      <c r="P12" s="76"/>
      <c r="Q12" s="83"/>
    </row>
    <row r="13" spans="2:17" ht="15" customHeight="1" thickTop="1">
      <c r="B13" s="78"/>
      <c r="C13" s="1118" t="s">
        <v>252</v>
      </c>
      <c r="D13" s="1118"/>
      <c r="E13" s="291">
        <f>ATAN($E$11/$E$12)*206265</f>
        <v>3599.9959450308984</v>
      </c>
      <c r="F13" s="1117"/>
      <c r="G13" s="1117"/>
      <c r="H13" s="1117"/>
      <c r="I13" s="1117"/>
      <c r="J13" s="1117"/>
      <c r="K13" s="1117"/>
      <c r="L13" s="1117"/>
      <c r="M13" s="1115"/>
      <c r="N13" s="1115"/>
      <c r="O13" s="76"/>
      <c r="P13" s="76"/>
      <c r="Q13" s="83"/>
    </row>
    <row r="14" spans="2:17" ht="30" customHeight="1">
      <c r="B14" s="66"/>
      <c r="C14" s="1128" t="s">
        <v>165</v>
      </c>
      <c r="D14" s="1128"/>
      <c r="E14" s="1129"/>
      <c r="F14" s="1129"/>
      <c r="G14" s="1129"/>
      <c r="H14" s="1129"/>
      <c r="I14" s="1129"/>
      <c r="J14" s="1129"/>
      <c r="K14" s="1129"/>
      <c r="L14" s="1129"/>
      <c r="M14" s="1129"/>
      <c r="N14" s="1129"/>
      <c r="O14" s="67"/>
      <c r="P14" s="67"/>
      <c r="Q14" s="69"/>
    </row>
    <row r="15" spans="2:17" ht="30" customHeight="1">
      <c r="B15" s="66"/>
      <c r="C15" s="1120" t="s">
        <v>184</v>
      </c>
      <c r="D15" s="1120"/>
      <c r="E15" s="1121"/>
      <c r="F15" s="1121"/>
      <c r="G15" s="1121"/>
      <c r="H15" s="1121"/>
      <c r="I15" s="1121"/>
      <c r="J15" s="1121"/>
      <c r="K15" s="1121"/>
      <c r="L15" s="1121"/>
      <c r="M15" s="156"/>
      <c r="N15" s="156"/>
      <c r="O15" s="70"/>
      <c r="P15" s="70"/>
      <c r="Q15" s="62" t="s">
        <v>166</v>
      </c>
    </row>
    <row r="16" spans="2:17" ht="15" customHeight="1">
      <c r="B16" s="66"/>
      <c r="C16" s="1124" t="s">
        <v>323</v>
      </c>
      <c r="D16" s="1124"/>
      <c r="E16" s="1125"/>
      <c r="F16" s="1125"/>
      <c r="G16" s="1125"/>
      <c r="H16" s="1125"/>
      <c r="I16" s="1125"/>
      <c r="J16" s="1125"/>
      <c r="K16" s="1125"/>
      <c r="L16" s="1125"/>
      <c r="M16" s="177"/>
      <c r="N16" s="176"/>
      <c r="O16" s="70"/>
      <c r="P16" s="70"/>
      <c r="Q16" s="62"/>
    </row>
    <row r="17" spans="2:20" ht="17.100000000000001" customHeight="1">
      <c r="B17" s="66"/>
      <c r="C17" s="1119" t="s">
        <v>179</v>
      </c>
      <c r="D17" s="1119"/>
      <c r="E17" s="1119"/>
      <c r="F17" s="1119"/>
      <c r="G17" s="1119"/>
      <c r="H17" s="1119"/>
      <c r="I17" s="1119"/>
      <c r="J17" s="1119"/>
      <c r="K17" s="1119"/>
      <c r="L17" s="1119"/>
      <c r="M17" s="1119"/>
      <c r="N17" s="1119"/>
      <c r="O17" s="74"/>
      <c r="P17" s="172"/>
      <c r="Q17" s="62"/>
    </row>
    <row r="18" spans="2:20" s="87" customFormat="1" ht="30" customHeight="1" thickBot="1">
      <c r="B18" s="85"/>
      <c r="C18" s="1122" t="s">
        <v>324</v>
      </c>
      <c r="D18" s="1123"/>
      <c r="E18" s="1123"/>
      <c r="F18" s="1123"/>
      <c r="G18" s="1123"/>
      <c r="H18" s="1123"/>
      <c r="I18" s="1123"/>
      <c r="J18" s="1123"/>
      <c r="K18" s="1123"/>
      <c r="L18" s="1123"/>
      <c r="M18" s="1123"/>
      <c r="N18" s="1123"/>
      <c r="O18" s="1123"/>
      <c r="P18" s="1123"/>
      <c r="Q18" s="86"/>
    </row>
    <row r="19" spans="2:20" ht="20.100000000000001" customHeight="1">
      <c r="B19" s="65"/>
      <c r="C19" s="444" t="s">
        <v>325</v>
      </c>
      <c r="D19" s="170"/>
      <c r="E19" s="246"/>
      <c r="F19" s="246"/>
      <c r="G19" s="246"/>
      <c r="H19" s="246"/>
      <c r="I19" s="246"/>
      <c r="J19" s="246"/>
      <c r="K19" s="246"/>
      <c r="L19" s="246"/>
      <c r="M19" s="247"/>
      <c r="N19" s="246"/>
      <c r="O19" s="248"/>
      <c r="P19" s="249"/>
      <c r="Q19" s="97"/>
    </row>
    <row r="20" spans="2:20" s="180" customFormat="1" ht="15" customHeight="1" thickBot="1">
      <c r="B20" s="178"/>
      <c r="C20" s="250"/>
      <c r="D20" s="251"/>
      <c r="E20" s="252" t="s">
        <v>213</v>
      </c>
      <c r="F20" s="67" t="s">
        <v>211</v>
      </c>
      <c r="G20" s="67" t="s">
        <v>212</v>
      </c>
      <c r="H20" s="1134" t="s">
        <v>214</v>
      </c>
      <c r="I20" s="1134"/>
      <c r="J20" s="1135"/>
      <c r="K20" s="67"/>
      <c r="L20" s="67"/>
      <c r="M20" s="253"/>
      <c r="N20" s="67"/>
      <c r="O20" s="254"/>
      <c r="P20" s="255"/>
      <c r="Q20" s="179"/>
    </row>
    <row r="21" spans="2:20" ht="15" customHeight="1" thickTop="1" thickBot="1">
      <c r="B21" s="65"/>
      <c r="C21" s="211" t="s">
        <v>269</v>
      </c>
      <c r="D21" s="84"/>
      <c r="E21" s="256">
        <v>1392000</v>
      </c>
      <c r="F21" s="257">
        <v>2.5000000000000001E-2</v>
      </c>
      <c r="G21" s="258">
        <v>0.01</v>
      </c>
      <c r="H21" s="1136">
        <v>0.27400000000000002</v>
      </c>
      <c r="I21" s="1137"/>
      <c r="J21" s="1138"/>
      <c r="K21" s="1159" t="s">
        <v>354</v>
      </c>
      <c r="L21" s="1160"/>
      <c r="M21" s="1025">
        <v>-26.7</v>
      </c>
      <c r="N21" s="1139"/>
      <c r="O21" s="259"/>
      <c r="P21" s="237">
        <v>41154</v>
      </c>
      <c r="Q21" s="96"/>
      <c r="R21" s="72"/>
    </row>
    <row r="22" spans="2:20" ht="15" customHeight="1" thickTop="1" thickBot="1">
      <c r="B22" s="65"/>
      <c r="C22" s="260"/>
      <c r="D22" s="261"/>
      <c r="E22" s="476" t="s">
        <v>178</v>
      </c>
      <c r="F22" s="262">
        <f>$F$21*$E$21/$H$21</f>
        <v>127007.29927007298</v>
      </c>
      <c r="G22" s="262">
        <v>10</v>
      </c>
      <c r="H22" s="1130" t="s">
        <v>215</v>
      </c>
      <c r="I22" s="1131"/>
      <c r="J22" s="1132"/>
      <c r="K22" s="1132"/>
      <c r="L22" s="1132"/>
      <c r="M22" s="1132"/>
      <c r="N22" s="1132"/>
      <c r="O22" s="1132"/>
      <c r="P22" s="1133"/>
      <c r="Q22" s="96"/>
      <c r="R22" s="72"/>
    </row>
    <row r="23" spans="2:20" ht="15" customHeight="1" thickTop="1" thickBot="1">
      <c r="B23" s="65"/>
      <c r="C23" s="1102" t="s">
        <v>268</v>
      </c>
      <c r="D23" s="1103"/>
      <c r="E23" s="477">
        <v>2.13158</v>
      </c>
      <c r="F23" s="1126" t="s">
        <v>260</v>
      </c>
      <c r="G23" s="1127"/>
      <c r="H23" s="1164" t="s">
        <v>258</v>
      </c>
      <c r="I23" s="1165"/>
      <c r="J23" s="1166"/>
      <c r="K23" s="263">
        <f>F21*180/($E$21*10^3)*206265*3600</f>
        <v>2.4004978448275862</v>
      </c>
      <c r="L23" s="264">
        <f>G21*180/($E$21*10^3)*206265*3600</f>
        <v>0.9601991379310344</v>
      </c>
      <c r="M23" s="1161" t="s">
        <v>259</v>
      </c>
      <c r="N23" s="1162"/>
      <c r="O23" s="1162"/>
      <c r="P23" s="1163"/>
      <c r="Q23" s="96"/>
      <c r="R23" s="72"/>
    </row>
    <row r="24" spans="2:20" ht="15" customHeight="1" thickTop="1" thickBot="1">
      <c r="B24" s="65"/>
      <c r="C24" s="274" t="s">
        <v>181</v>
      </c>
      <c r="D24" s="275"/>
      <c r="E24" s="478">
        <v>1.0085</v>
      </c>
      <c r="F24" s="1157">
        <f>149597870.69</f>
        <v>149597870.69</v>
      </c>
      <c r="G24" s="1158"/>
      <c r="H24" s="1155">
        <f>$E$24*$F$24</f>
        <v>150869452.59086499</v>
      </c>
      <c r="I24" s="1155"/>
      <c r="J24" s="1156"/>
      <c r="K24" s="265"/>
      <c r="L24" s="265"/>
      <c r="M24" s="265"/>
      <c r="N24" s="265"/>
      <c r="O24" s="265"/>
      <c r="P24" s="266"/>
      <c r="Q24" s="96"/>
      <c r="R24" s="72"/>
    </row>
    <row r="25" spans="2:20" ht="15" customHeight="1" thickTop="1">
      <c r="B25" s="65"/>
      <c r="C25" s="1031" t="s">
        <v>182</v>
      </c>
      <c r="D25" s="276"/>
      <c r="E25" s="471">
        <f>E26/60</f>
        <v>31.717568630746584</v>
      </c>
      <c r="F25" s="1151" t="s">
        <v>232</v>
      </c>
      <c r="G25" s="1152"/>
      <c r="H25" s="1152"/>
      <c r="I25" s="1152"/>
      <c r="J25" s="1152"/>
      <c r="K25" s="1152"/>
      <c r="L25" s="1152"/>
      <c r="M25" s="1152"/>
      <c r="N25" s="1152"/>
      <c r="O25" s="1152"/>
      <c r="P25" s="1153"/>
      <c r="Q25" s="96"/>
      <c r="R25" s="72"/>
    </row>
    <row r="26" spans="2:20" ht="15" customHeight="1" thickBot="1">
      <c r="B26" s="65"/>
      <c r="C26" s="1031"/>
      <c r="D26" s="276"/>
      <c r="E26" s="222">
        <f>ATAN($E$21/$H$24)*206265</f>
        <v>1903.054117844795</v>
      </c>
      <c r="F26" s="1154"/>
      <c r="G26" s="1152"/>
      <c r="H26" s="1152"/>
      <c r="I26" s="1152"/>
      <c r="J26" s="1152"/>
      <c r="K26" s="1152"/>
      <c r="L26" s="1152"/>
      <c r="M26" s="1152"/>
      <c r="N26" s="1152"/>
      <c r="O26" s="1152"/>
      <c r="P26" s="1153"/>
      <c r="Q26" s="96"/>
      <c r="R26" s="72"/>
    </row>
    <row r="27" spans="2:20" ht="9.9499999999999993" customHeight="1" thickTop="1" thickBot="1">
      <c r="B27" s="65"/>
      <c r="C27" s="1088"/>
      <c r="D27" s="298"/>
      <c r="E27" s="267"/>
      <c r="F27" s="268"/>
      <c r="G27" s="269"/>
      <c r="H27" s="270"/>
      <c r="I27" s="270"/>
      <c r="J27" s="271"/>
      <c r="K27" s="272"/>
      <c r="L27" s="272"/>
      <c r="M27" s="272"/>
      <c r="N27" s="272"/>
      <c r="O27" s="272"/>
      <c r="P27" s="273"/>
      <c r="Q27" s="96"/>
      <c r="R27" s="72"/>
    </row>
    <row r="28" spans="2:20" s="71" customFormat="1" ht="20.100000000000001" customHeight="1" thickBot="1">
      <c r="B28" s="65"/>
      <c r="C28" s="1089" t="s">
        <v>257</v>
      </c>
      <c r="D28" s="1090"/>
      <c r="E28" s="1090"/>
      <c r="F28" s="1090"/>
      <c r="G28" s="1090"/>
      <c r="H28" s="1090"/>
      <c r="I28" s="1090"/>
      <c r="J28" s="1090"/>
      <c r="K28" s="1090"/>
      <c r="L28" s="1090"/>
      <c r="M28" s="1090"/>
      <c r="N28" s="1090"/>
      <c r="O28" s="1090"/>
      <c r="P28" s="1091"/>
      <c r="Q28" s="94" t="s">
        <v>166</v>
      </c>
    </row>
    <row r="29" spans="2:20" s="150" customFormat="1" ht="15" customHeight="1" thickTop="1" thickBot="1">
      <c r="B29" s="149"/>
      <c r="C29" s="211" t="s">
        <v>269</v>
      </c>
      <c r="D29" s="84"/>
      <c r="E29" s="212">
        <v>3474.8</v>
      </c>
      <c r="F29" s="235" t="s">
        <v>342</v>
      </c>
      <c r="G29" s="1097">
        <v>289.2</v>
      </c>
      <c r="H29" s="1098"/>
      <c r="I29" s="1145">
        <v>66.5</v>
      </c>
      <c r="J29" s="1146"/>
      <c r="K29" s="1140">
        <v>20.72</v>
      </c>
      <c r="L29" s="1141"/>
      <c r="M29" s="1025">
        <v>-10.78</v>
      </c>
      <c r="N29" s="1139"/>
      <c r="O29" s="236"/>
      <c r="P29" s="237">
        <v>44688</v>
      </c>
      <c r="Q29" s="95"/>
      <c r="S29" s="151"/>
      <c r="T29" s="151"/>
    </row>
    <row r="30" spans="2:20" s="150" customFormat="1" ht="15" customHeight="1" thickTop="1" thickBot="1">
      <c r="B30" s="149"/>
      <c r="C30" s="274" t="s">
        <v>181</v>
      </c>
      <c r="D30" s="75"/>
      <c r="E30" s="238">
        <v>2.5569999999999998E-3</v>
      </c>
      <c r="F30" s="239">
        <f>$E$30*$F$24</f>
        <v>382521.75535432994</v>
      </c>
      <c r="G30" s="1149">
        <v>3.6417000000000002</v>
      </c>
      <c r="H30" s="1150"/>
      <c r="I30" s="1147" t="s">
        <v>223</v>
      </c>
      <c r="J30" s="1148"/>
      <c r="K30" s="301">
        <f>$E$31/60*$F$31/180*3600</f>
        <v>52.045689677928706</v>
      </c>
      <c r="L30" s="302">
        <f>$E$31/60*$G$31/180*3600</f>
        <v>52.045689677928706</v>
      </c>
      <c r="M30" s="1142" t="s">
        <v>224</v>
      </c>
      <c r="N30" s="1143"/>
      <c r="O30" s="1143"/>
      <c r="P30" s="1144"/>
      <c r="Q30" s="95"/>
      <c r="S30" s="151"/>
      <c r="T30" s="151"/>
    </row>
    <row r="31" spans="2:20" s="150" customFormat="1" ht="15" customHeight="1" thickTop="1" thickBot="1">
      <c r="B31" s="149"/>
      <c r="C31" s="1031" t="s">
        <v>182</v>
      </c>
      <c r="D31" s="220"/>
      <c r="E31" s="240">
        <f>E32/60</f>
        <v>31.227413806757223</v>
      </c>
      <c r="F31" s="241">
        <v>5</v>
      </c>
      <c r="G31" s="1068">
        <v>5</v>
      </c>
      <c r="H31" s="1069"/>
      <c r="I31" s="1070" t="s">
        <v>272</v>
      </c>
      <c r="J31" s="1071"/>
      <c r="K31" s="1071"/>
      <c r="L31" s="1071"/>
      <c r="M31" s="1071"/>
      <c r="N31" s="1071"/>
      <c r="O31" s="1071"/>
      <c r="P31" s="1072"/>
      <c r="Q31" s="96"/>
    </row>
    <row r="32" spans="2:20" s="150" customFormat="1" ht="22.5" customHeight="1" thickTop="1" thickBot="1">
      <c r="B32" s="149"/>
      <c r="C32" s="1031"/>
      <c r="D32" s="220"/>
      <c r="E32" s="233">
        <f>ATAN(E29/F30)*206265</f>
        <v>1873.6448284054334</v>
      </c>
      <c r="F32" s="242" t="s">
        <v>262</v>
      </c>
      <c r="G32" s="243"/>
      <c r="H32" s="243"/>
      <c r="I32" s="243"/>
      <c r="J32" s="243"/>
      <c r="K32" s="1100" t="s">
        <v>225</v>
      </c>
      <c r="L32" s="1100"/>
      <c r="M32" s="1100"/>
      <c r="N32" s="1100"/>
      <c r="O32" s="1100"/>
      <c r="P32" s="1101"/>
      <c r="Q32" s="96"/>
    </row>
    <row r="33" spans="2:20" s="150" customFormat="1" ht="22.5" customHeight="1" thickTop="1">
      <c r="B33" s="149"/>
      <c r="C33" s="244"/>
      <c r="D33" s="245"/>
      <c r="E33" s="1099" t="s">
        <v>261</v>
      </c>
      <c r="F33" s="540"/>
      <c r="G33" s="540"/>
      <c r="H33" s="540"/>
      <c r="I33" s="540"/>
      <c r="J33" s="540"/>
      <c r="K33" s="540"/>
      <c r="L33" s="540"/>
      <c r="M33" s="540"/>
      <c r="N33" s="540"/>
      <c r="O33" s="540"/>
      <c r="P33" s="541"/>
      <c r="Q33" s="96"/>
    </row>
    <row r="34" spans="2:20" s="150" customFormat="1" ht="15.75" customHeight="1">
      <c r="B34" s="149"/>
      <c r="C34" s="244"/>
      <c r="D34" s="245"/>
      <c r="E34" s="540"/>
      <c r="F34" s="540"/>
      <c r="G34" s="540"/>
      <c r="H34" s="540"/>
      <c r="I34" s="540"/>
      <c r="J34" s="540"/>
      <c r="K34" s="540"/>
      <c r="L34" s="540"/>
      <c r="M34" s="540"/>
      <c r="N34" s="540"/>
      <c r="O34" s="540"/>
      <c r="P34" s="541"/>
      <c r="Q34" s="96"/>
    </row>
    <row r="35" spans="2:20" s="150" customFormat="1" ht="15.75" customHeight="1" thickBot="1">
      <c r="B35" s="149"/>
      <c r="C35" s="244"/>
      <c r="D35" s="245"/>
      <c r="E35" s="515" t="s">
        <v>349</v>
      </c>
      <c r="F35" s="510"/>
      <c r="G35" s="510"/>
      <c r="H35" s="510"/>
      <c r="I35" s="510"/>
      <c r="J35" s="510"/>
      <c r="K35" s="510"/>
      <c r="L35" s="510"/>
      <c r="M35" s="510"/>
      <c r="N35" s="510"/>
      <c r="O35" s="510"/>
      <c r="P35" s="514"/>
      <c r="Q35" s="96"/>
    </row>
    <row r="36" spans="2:20" ht="20.100000000000001" customHeight="1" thickBot="1">
      <c r="B36" s="66"/>
      <c r="C36" s="444" t="s">
        <v>318</v>
      </c>
      <c r="D36" s="170"/>
      <c r="E36" s="228"/>
      <c r="F36" s="228"/>
      <c r="G36" s="228"/>
      <c r="H36" s="228"/>
      <c r="I36" s="228"/>
      <c r="J36" s="228"/>
      <c r="K36" s="228"/>
      <c r="L36" s="228"/>
      <c r="M36" s="229"/>
      <c r="N36" s="228"/>
      <c r="O36" s="228"/>
      <c r="P36" s="230"/>
      <c r="Q36" s="93"/>
    </row>
    <row r="37" spans="2:20" s="150" customFormat="1" ht="15" customHeight="1" thickTop="1" thickBot="1">
      <c r="B37" s="152"/>
      <c r="C37" s="211" t="s">
        <v>270</v>
      </c>
      <c r="D37" s="84"/>
      <c r="E37" s="212">
        <v>12103.6</v>
      </c>
      <c r="F37" s="156"/>
      <c r="G37" s="1020">
        <v>1.5035799999999999</v>
      </c>
      <c r="H37" s="1021"/>
      <c r="I37" s="432">
        <v>0</v>
      </c>
      <c r="J37" s="305">
        <v>14</v>
      </c>
      <c r="K37" s="1029" t="s">
        <v>319</v>
      </c>
      <c r="L37" s="1030"/>
      <c r="M37" s="1025">
        <v>-3.7</v>
      </c>
      <c r="N37" s="1026"/>
      <c r="O37" s="433"/>
      <c r="P37" s="214">
        <v>44688</v>
      </c>
      <c r="Q37" s="93"/>
      <c r="R37" s="153"/>
      <c r="S37" s="153"/>
      <c r="T37" s="153"/>
    </row>
    <row r="38" spans="2:20" s="150" customFormat="1" ht="15" customHeight="1" thickTop="1" thickBot="1">
      <c r="B38" s="152"/>
      <c r="C38" s="274" t="s">
        <v>181</v>
      </c>
      <c r="D38" s="75"/>
      <c r="E38" s="475">
        <v>1.5409999999999999</v>
      </c>
      <c r="F38" s="216">
        <f>E38*$F$24</f>
        <v>230530318.73328999</v>
      </c>
      <c r="G38" s="231"/>
      <c r="H38" s="218"/>
      <c r="I38" s="1018">
        <f>(I37+(J37*100/60)/100)</f>
        <v>0.23333333333333331</v>
      </c>
      <c r="J38" s="1019"/>
      <c r="K38" s="218"/>
      <c r="L38" s="218"/>
      <c r="M38" s="218"/>
      <c r="N38" s="218"/>
      <c r="O38" s="218"/>
      <c r="P38" s="232"/>
      <c r="Q38" s="93"/>
      <c r="R38" s="153"/>
      <c r="S38" s="153"/>
      <c r="T38" s="153"/>
    </row>
    <row r="39" spans="2:20" s="150" customFormat="1" ht="15" customHeight="1" thickTop="1">
      <c r="B39" s="152"/>
      <c r="C39" s="1031" t="s">
        <v>182</v>
      </c>
      <c r="D39" s="220"/>
      <c r="E39" s="473">
        <f>E40/60</f>
        <v>0.18049318237357814</v>
      </c>
      <c r="F39" s="439"/>
      <c r="G39" s="242"/>
      <c r="H39" s="242"/>
      <c r="I39" s="1066" t="s">
        <v>322</v>
      </c>
      <c r="J39" s="1067"/>
      <c r="K39" s="242"/>
      <c r="L39" s="242"/>
      <c r="M39" s="242"/>
      <c r="N39" s="242"/>
      <c r="O39" s="242"/>
      <c r="P39" s="441"/>
      <c r="Q39" s="93"/>
      <c r="R39" s="153"/>
      <c r="S39" s="153"/>
      <c r="T39" s="153"/>
    </row>
    <row r="40" spans="2:20" s="150" customFormat="1" ht="15" customHeight="1" thickBot="1">
      <c r="B40" s="152"/>
      <c r="C40" s="1032"/>
      <c r="D40" s="220"/>
      <c r="E40" s="233">
        <f>(ATAN(E37/F38)*206265)</f>
        <v>10.829590942414688</v>
      </c>
      <c r="F40" s="440"/>
      <c r="G40" s="442"/>
      <c r="H40" s="442"/>
      <c r="I40" s="442"/>
      <c r="J40" s="442" t="s">
        <v>329</v>
      </c>
      <c r="K40" s="442"/>
      <c r="L40" s="442"/>
      <c r="M40" s="442"/>
      <c r="N40" s="442"/>
      <c r="O40" s="442"/>
      <c r="P40" s="443"/>
      <c r="Q40" s="93"/>
    </row>
    <row r="41" spans="2:20" s="150" customFormat="1" ht="9.9499999999999993" customHeight="1" thickTop="1" thickBot="1">
      <c r="B41" s="152"/>
      <c r="C41" s="434"/>
      <c r="D41" s="435"/>
      <c r="E41" s="435"/>
      <c r="F41" s="156"/>
      <c r="G41" s="156"/>
      <c r="H41" s="156"/>
      <c r="I41" s="156"/>
      <c r="J41" s="156"/>
      <c r="K41" s="156"/>
      <c r="L41" s="156"/>
      <c r="M41" s="436"/>
      <c r="N41" s="156"/>
      <c r="O41" s="70"/>
      <c r="P41" s="437"/>
      <c r="Q41" s="93"/>
    </row>
    <row r="42" spans="2:20" ht="20.100000000000001" customHeight="1" thickBot="1">
      <c r="B42" s="66"/>
      <c r="C42" s="444" t="s">
        <v>321</v>
      </c>
      <c r="D42" s="170"/>
      <c r="E42" s="228"/>
      <c r="F42" s="228"/>
      <c r="G42" s="228"/>
      <c r="H42" s="228"/>
      <c r="I42" s="228"/>
      <c r="J42" s="228"/>
      <c r="K42" s="228"/>
      <c r="L42" s="228"/>
      <c r="M42" s="229"/>
      <c r="N42" s="228"/>
      <c r="O42" s="228"/>
      <c r="P42" s="230"/>
      <c r="Q42" s="93"/>
    </row>
    <row r="43" spans="2:20" s="150" customFormat="1" ht="15" customHeight="1" thickTop="1" thickBot="1">
      <c r="B43" s="152"/>
      <c r="C43" s="211" t="s">
        <v>270</v>
      </c>
      <c r="D43" s="84"/>
      <c r="E43" s="212">
        <v>6792.4</v>
      </c>
      <c r="F43" s="156"/>
      <c r="G43" s="1020">
        <v>0.56977</v>
      </c>
      <c r="H43" s="1021"/>
      <c r="I43" s="432">
        <v>24</v>
      </c>
      <c r="J43" s="305">
        <v>37</v>
      </c>
      <c r="K43" s="1029" t="s">
        <v>320</v>
      </c>
      <c r="L43" s="1030"/>
      <c r="M43" s="1025">
        <v>1.5</v>
      </c>
      <c r="N43" s="1026"/>
      <c r="O43" s="433"/>
      <c r="P43" s="214">
        <v>44688</v>
      </c>
      <c r="Q43" s="93"/>
      <c r="R43" s="153"/>
      <c r="S43" s="153"/>
      <c r="T43" s="153"/>
    </row>
    <row r="44" spans="2:20" s="150" customFormat="1" ht="15" customHeight="1" thickTop="1" thickBot="1">
      <c r="B44" s="152"/>
      <c r="C44" s="274" t="s">
        <v>181</v>
      </c>
      <c r="D44" s="75"/>
      <c r="E44" s="472">
        <v>2.2829999999999999</v>
      </c>
      <c r="F44" s="216">
        <f>E44*$F$24</f>
        <v>341531938.78526998</v>
      </c>
      <c r="G44" s="231"/>
      <c r="H44" s="218"/>
      <c r="I44" s="1018">
        <f>(I43+(J43*100/60)/100)</f>
        <v>24.616666666666667</v>
      </c>
      <c r="J44" s="1019"/>
      <c r="K44" s="218"/>
      <c r="L44" s="218"/>
      <c r="M44" s="218"/>
      <c r="N44" s="218"/>
      <c r="O44" s="218"/>
      <c r="P44" s="232"/>
      <c r="Q44" s="93"/>
      <c r="R44" s="153"/>
      <c r="S44" s="153"/>
      <c r="T44" s="153"/>
    </row>
    <row r="45" spans="2:20" s="150" customFormat="1" ht="15" customHeight="1" thickTop="1">
      <c r="B45" s="152"/>
      <c r="C45" s="1031" t="s">
        <v>182</v>
      </c>
      <c r="D45" s="220"/>
      <c r="E45" s="474">
        <f>E46/60</f>
        <v>6.8370100846124562E-2</v>
      </c>
      <c r="F45" s="1039"/>
      <c r="G45" s="1040"/>
      <c r="H45" s="1040"/>
      <c r="I45" s="1040"/>
      <c r="J45" s="1040"/>
      <c r="K45" s="1033"/>
      <c r="L45" s="1033"/>
      <c r="M45" s="1033"/>
      <c r="N45" s="1033"/>
      <c r="O45" s="1033"/>
      <c r="P45" s="1034"/>
      <c r="Q45" s="93"/>
      <c r="R45" s="153"/>
      <c r="S45" s="153"/>
      <c r="T45" s="153"/>
    </row>
    <row r="46" spans="2:20" s="150" customFormat="1" ht="15" customHeight="1" thickBot="1">
      <c r="B46" s="152"/>
      <c r="C46" s="1032"/>
      <c r="D46" s="220"/>
      <c r="E46" s="233">
        <f>(ATAN(E43/F44)*206265)</f>
        <v>4.1022060507674736</v>
      </c>
      <c r="F46" s="1094" t="s">
        <v>330</v>
      </c>
      <c r="G46" s="1095"/>
      <c r="H46" s="1095"/>
      <c r="I46" s="1095"/>
      <c r="J46" s="1095"/>
      <c r="K46" s="1095"/>
      <c r="L46" s="1095"/>
      <c r="M46" s="1095"/>
      <c r="N46" s="1095"/>
      <c r="O46" s="1095"/>
      <c r="P46" s="1096"/>
      <c r="Q46" s="93"/>
    </row>
    <row r="47" spans="2:20" s="150" customFormat="1" ht="9.9499999999999993" customHeight="1" thickTop="1" thickBot="1">
      <c r="B47" s="152"/>
      <c r="C47" s="434"/>
      <c r="D47" s="435"/>
      <c r="E47" s="435"/>
      <c r="F47" s="156"/>
      <c r="G47" s="156"/>
      <c r="H47" s="156"/>
      <c r="I47" s="156"/>
      <c r="J47" s="156"/>
      <c r="K47" s="156"/>
      <c r="L47" s="156"/>
      <c r="M47" s="436"/>
      <c r="N47" s="156"/>
      <c r="O47" s="70"/>
      <c r="P47" s="437"/>
      <c r="Q47" s="93"/>
    </row>
    <row r="48" spans="2:20" ht="20.100000000000001" customHeight="1" thickBot="1">
      <c r="B48" s="66"/>
      <c r="C48" s="444" t="s">
        <v>256</v>
      </c>
      <c r="D48" s="170"/>
      <c r="E48" s="228"/>
      <c r="F48" s="228"/>
      <c r="G48" s="228"/>
      <c r="H48" s="228"/>
      <c r="I48" s="228"/>
      <c r="J48" s="228"/>
      <c r="K48" s="228"/>
      <c r="L48" s="228"/>
      <c r="M48" s="229"/>
      <c r="N48" s="228"/>
      <c r="O48" s="228"/>
      <c r="P48" s="230"/>
      <c r="Q48" s="93"/>
    </row>
    <row r="49" spans="2:20" s="150" customFormat="1" ht="15" customHeight="1" thickTop="1" thickBot="1">
      <c r="B49" s="152"/>
      <c r="C49" s="211" t="s">
        <v>270</v>
      </c>
      <c r="D49" s="84"/>
      <c r="E49" s="212">
        <v>142984</v>
      </c>
      <c r="F49" s="156"/>
      <c r="G49" s="1020">
        <v>5.2190000000000003</v>
      </c>
      <c r="H49" s="1021"/>
      <c r="I49" s="432">
        <v>9</v>
      </c>
      <c r="J49" s="305">
        <v>55</v>
      </c>
      <c r="K49" s="1029" t="s">
        <v>186</v>
      </c>
      <c r="L49" s="1030"/>
      <c r="M49" s="1025">
        <v>-1.7</v>
      </c>
      <c r="N49" s="1026"/>
      <c r="O49" s="433"/>
      <c r="P49" s="214">
        <v>44691</v>
      </c>
      <c r="Q49" s="93"/>
      <c r="R49" s="153"/>
      <c r="S49" s="153"/>
      <c r="T49" s="153"/>
    </row>
    <row r="50" spans="2:20" s="150" customFormat="1" ht="15" customHeight="1" thickTop="1" thickBot="1">
      <c r="B50" s="152"/>
      <c r="C50" s="274" t="s">
        <v>181</v>
      </c>
      <c r="D50" s="75"/>
      <c r="E50" s="475">
        <v>5.2430000000000003</v>
      </c>
      <c r="F50" s="216">
        <f>$E$50*$F$24</f>
        <v>784341636.02767003</v>
      </c>
      <c r="G50" s="231"/>
      <c r="H50" s="218"/>
      <c r="I50" s="1018">
        <f>(I49+(J49*100/60)/100)</f>
        <v>9.9166666666666661</v>
      </c>
      <c r="J50" s="1019"/>
      <c r="K50" s="218"/>
      <c r="L50" s="218"/>
      <c r="M50" s="218"/>
      <c r="N50" s="218"/>
      <c r="O50" s="218"/>
      <c r="P50" s="232"/>
      <c r="Q50" s="93"/>
      <c r="R50" s="153"/>
      <c r="S50" s="153"/>
      <c r="T50" s="153"/>
    </row>
    <row r="51" spans="2:20" s="150" customFormat="1" ht="15" customHeight="1" thickTop="1">
      <c r="B51" s="152"/>
      <c r="C51" s="1031" t="s">
        <v>182</v>
      </c>
      <c r="D51" s="220"/>
      <c r="E51" s="473">
        <f>E52/60</f>
        <v>0.62669533016805501</v>
      </c>
      <c r="F51" s="1039" t="s">
        <v>226</v>
      </c>
      <c r="G51" s="1040"/>
      <c r="H51" s="1040"/>
      <c r="I51" s="1040"/>
      <c r="J51" s="1040"/>
      <c r="K51" s="1033" t="s">
        <v>172</v>
      </c>
      <c r="L51" s="1033"/>
      <c r="M51" s="1033"/>
      <c r="N51" s="1033"/>
      <c r="O51" s="1033"/>
      <c r="P51" s="1034"/>
      <c r="Q51" s="93"/>
      <c r="R51" s="153"/>
      <c r="S51" s="153"/>
      <c r="T51" s="153"/>
    </row>
    <row r="52" spans="2:20" s="150" customFormat="1" ht="15" customHeight="1" thickBot="1">
      <c r="B52" s="152"/>
      <c r="C52" s="1032"/>
      <c r="D52" s="220"/>
      <c r="E52" s="233">
        <f>(ATAN(E49/F50)*206265)</f>
        <v>37.601719810083303</v>
      </c>
      <c r="F52" s="1022" t="s">
        <v>231</v>
      </c>
      <c r="G52" s="1023"/>
      <c r="H52" s="1023"/>
      <c r="I52" s="1023"/>
      <c r="J52" s="1023"/>
      <c r="K52" s="1023"/>
      <c r="L52" s="1023"/>
      <c r="M52" s="1023"/>
      <c r="N52" s="1023"/>
      <c r="O52" s="1023"/>
      <c r="P52" s="1024"/>
      <c r="Q52" s="93"/>
    </row>
    <row r="53" spans="2:20" s="150" customFormat="1" ht="9.9499999999999993" customHeight="1" thickTop="1" thickBot="1">
      <c r="B53" s="152"/>
      <c r="C53" s="223"/>
      <c r="D53" s="224"/>
      <c r="E53" s="224"/>
      <c r="F53" s="225"/>
      <c r="G53" s="225"/>
      <c r="H53" s="225"/>
      <c r="I53" s="225"/>
      <c r="J53" s="225"/>
      <c r="K53" s="225"/>
      <c r="L53" s="225"/>
      <c r="M53" s="226"/>
      <c r="N53" s="225"/>
      <c r="O53" s="227"/>
      <c r="P53" s="234"/>
      <c r="Q53" s="93"/>
    </row>
    <row r="54" spans="2:20" ht="20.100000000000001" customHeight="1" thickBot="1">
      <c r="B54" s="66"/>
      <c r="C54" s="444" t="s">
        <v>255</v>
      </c>
      <c r="D54" s="170"/>
      <c r="E54" s="158"/>
      <c r="F54" s="158"/>
      <c r="G54" s="158"/>
      <c r="H54" s="158"/>
      <c r="I54" s="158"/>
      <c r="J54" s="158"/>
      <c r="K54" s="158"/>
      <c r="L54" s="158"/>
      <c r="M54" s="159"/>
      <c r="N54" s="158"/>
      <c r="O54" s="160"/>
      <c r="P54" s="181"/>
      <c r="Q54" s="62"/>
    </row>
    <row r="55" spans="2:20" s="150" customFormat="1" ht="15" customHeight="1" thickTop="1" thickBot="1">
      <c r="B55" s="152"/>
      <c r="C55" s="211" t="s">
        <v>269</v>
      </c>
      <c r="D55" s="84"/>
      <c r="E55" s="212">
        <v>120536</v>
      </c>
      <c r="F55" s="156"/>
      <c r="G55" s="1035">
        <v>5.8847699999999996</v>
      </c>
      <c r="H55" s="1036"/>
      <c r="I55" s="303">
        <v>10</v>
      </c>
      <c r="J55" s="304">
        <v>33</v>
      </c>
      <c r="K55" s="1027" t="s">
        <v>185</v>
      </c>
      <c r="L55" s="1028"/>
      <c r="M55" s="1092">
        <v>0.6</v>
      </c>
      <c r="N55" s="1093"/>
      <c r="O55" s="213"/>
      <c r="P55" s="214">
        <v>44764</v>
      </c>
      <c r="Q55" s="93"/>
      <c r="R55" s="153"/>
      <c r="S55" s="153"/>
      <c r="T55" s="153"/>
    </row>
    <row r="56" spans="2:20" s="150" customFormat="1" ht="15" customHeight="1" thickTop="1" thickBot="1">
      <c r="B56" s="152"/>
      <c r="C56" s="274" t="s">
        <v>181</v>
      </c>
      <c r="D56" s="75"/>
      <c r="E56" s="215">
        <v>9.1289999999999996</v>
      </c>
      <c r="F56" s="216">
        <f>$E$56*$F$24</f>
        <v>1365678961.5290098</v>
      </c>
      <c r="G56" s="217"/>
      <c r="H56" s="217"/>
      <c r="I56" s="1018">
        <f>(I55+(J55*100/60)/100)</f>
        <v>10.55</v>
      </c>
      <c r="J56" s="1019"/>
      <c r="K56" s="218"/>
      <c r="L56" s="218"/>
      <c r="M56" s="218"/>
      <c r="N56" s="218"/>
      <c r="O56" s="218"/>
      <c r="P56" s="219"/>
      <c r="Q56" s="93"/>
      <c r="R56" s="153"/>
      <c r="S56" s="153"/>
      <c r="T56" s="153"/>
    </row>
    <row r="57" spans="2:20" s="150" customFormat="1" ht="15" customHeight="1" thickTop="1">
      <c r="B57" s="152"/>
      <c r="C57" s="1031" t="s">
        <v>182</v>
      </c>
      <c r="D57" s="220"/>
      <c r="E57" s="221">
        <f>E58/60</f>
        <v>0.30341877161238906</v>
      </c>
      <c r="F57" s="1039" t="s">
        <v>227</v>
      </c>
      <c r="G57" s="1040"/>
      <c r="H57" s="1040"/>
      <c r="I57" s="1040"/>
      <c r="J57" s="1040"/>
      <c r="K57" s="1033" t="s">
        <v>172</v>
      </c>
      <c r="L57" s="1033"/>
      <c r="M57" s="1033"/>
      <c r="N57" s="1033"/>
      <c r="O57" s="1033"/>
      <c r="P57" s="1034"/>
      <c r="Q57" s="93"/>
      <c r="R57" s="153"/>
      <c r="S57" s="153"/>
      <c r="T57" s="153"/>
    </row>
    <row r="58" spans="2:20" s="150" customFormat="1" ht="15" customHeight="1" thickBot="1">
      <c r="B58" s="152"/>
      <c r="C58" s="1032"/>
      <c r="D58" s="220"/>
      <c r="E58" s="222">
        <f>(ATAN($E$55/$F$56)*206265)</f>
        <v>18.205126296743344</v>
      </c>
      <c r="F58" s="1022" t="s">
        <v>230</v>
      </c>
      <c r="G58" s="1023"/>
      <c r="H58" s="1023"/>
      <c r="I58" s="1023"/>
      <c r="J58" s="1023"/>
      <c r="K58" s="1023"/>
      <c r="L58" s="1023"/>
      <c r="M58" s="1023"/>
      <c r="N58" s="1023"/>
      <c r="O58" s="1023"/>
      <c r="P58" s="1024"/>
      <c r="Q58" s="93"/>
    </row>
    <row r="59" spans="2:20" s="150" customFormat="1" ht="9.9499999999999993" customHeight="1" thickTop="1" thickBot="1">
      <c r="B59" s="152"/>
      <c r="C59" s="286"/>
      <c r="D59" s="485"/>
      <c r="E59" s="224"/>
      <c r="F59" s="486"/>
      <c r="G59" s="487"/>
      <c r="H59" s="487"/>
      <c r="I59" s="487"/>
      <c r="J59" s="487"/>
      <c r="K59" s="487"/>
      <c r="L59" s="487"/>
      <c r="M59" s="487"/>
      <c r="N59" s="487"/>
      <c r="O59" s="487"/>
      <c r="P59" s="488"/>
      <c r="Q59" s="93"/>
    </row>
    <row r="60" spans="2:20" s="457" customFormat="1" ht="30" customHeight="1" thickBot="1">
      <c r="B60" s="455"/>
      <c r="C60" s="1037" t="s">
        <v>328</v>
      </c>
      <c r="D60" s="1037"/>
      <c r="E60" s="1038"/>
      <c r="F60" s="1038"/>
      <c r="G60" s="1038"/>
      <c r="H60" s="1038"/>
      <c r="I60" s="1038"/>
      <c r="J60" s="1038"/>
      <c r="K60" s="1038"/>
      <c r="L60" s="1038"/>
      <c r="M60" s="1038"/>
      <c r="N60" s="1038"/>
      <c r="O60" s="1038"/>
      <c r="P60" s="1038"/>
      <c r="Q60" s="456"/>
    </row>
    <row r="61" spans="2:20" ht="20.100000000000001" customHeight="1" thickBot="1">
      <c r="B61" s="65"/>
      <c r="C61" s="1041" t="s">
        <v>280</v>
      </c>
      <c r="D61" s="1042"/>
      <c r="E61" s="1042"/>
      <c r="F61" s="1045" t="s">
        <v>235</v>
      </c>
      <c r="G61" s="1046"/>
      <c r="H61" s="1046"/>
      <c r="I61" s="496"/>
      <c r="J61" s="497"/>
      <c r="K61" s="1065" t="s">
        <v>335</v>
      </c>
      <c r="L61" s="1044"/>
      <c r="M61" s="1043" t="s">
        <v>331</v>
      </c>
      <c r="N61" s="1044"/>
      <c r="O61" s="494"/>
      <c r="P61" s="495" t="s">
        <v>332</v>
      </c>
      <c r="Q61" s="98"/>
    </row>
    <row r="62" spans="2:20" s="150" customFormat="1" ht="15" customHeight="1" thickTop="1" thickBot="1">
      <c r="B62" s="149"/>
      <c r="C62" s="211" t="s">
        <v>269</v>
      </c>
      <c r="D62" s="84"/>
      <c r="E62" s="338"/>
      <c r="F62" s="446">
        <f>11/60</f>
        <v>0.18333333333333332</v>
      </c>
      <c r="G62" s="1063">
        <f>7/60</f>
        <v>0.11666666666666667</v>
      </c>
      <c r="H62" s="1064"/>
      <c r="I62" s="445"/>
      <c r="J62" s="438"/>
      <c r="K62" s="1059" t="s">
        <v>340</v>
      </c>
      <c r="L62" s="1060"/>
      <c r="M62" s="1057">
        <v>4.5</v>
      </c>
      <c r="N62" s="1058"/>
      <c r="O62" s="336"/>
      <c r="P62" s="214">
        <v>44569</v>
      </c>
      <c r="Q62" s="98"/>
    </row>
    <row r="63" spans="2:20" s="175" customFormat="1" ht="15" customHeight="1" thickTop="1" thickBot="1">
      <c r="B63" s="184"/>
      <c r="C63" s="277" t="s">
        <v>341</v>
      </c>
      <c r="D63" s="278"/>
      <c r="E63" s="279" t="s">
        <v>210</v>
      </c>
      <c r="F63" s="280" t="s">
        <v>253</v>
      </c>
      <c r="G63" s="1047" t="s">
        <v>208</v>
      </c>
      <c r="H63" s="1048"/>
      <c r="I63" s="1048"/>
      <c r="J63" s="1048"/>
      <c r="K63" s="1049" t="s">
        <v>209</v>
      </c>
      <c r="L63" s="1050"/>
      <c r="M63" s="1050"/>
      <c r="N63" s="1050"/>
      <c r="O63" s="1050"/>
      <c r="P63" s="1051"/>
      <c r="Q63" s="185"/>
    </row>
    <row r="64" spans="2:20" s="150" customFormat="1" ht="15" customHeight="1" thickTop="1" thickBot="1">
      <c r="B64" s="149"/>
      <c r="C64" s="274" t="s">
        <v>181</v>
      </c>
      <c r="D64" s="275"/>
      <c r="E64" s="281"/>
      <c r="F64" s="295">
        <v>2316</v>
      </c>
      <c r="G64" s="1077" t="str">
        <f>IF(E64=0,"",$E$64*$F$24)</f>
        <v/>
      </c>
      <c r="H64" s="1078"/>
      <c r="I64" s="1078"/>
      <c r="J64" s="1078"/>
      <c r="K64" s="1079">
        <f>IF(F64=0,"",F64*(9.46728*10^12))</f>
        <v>2.192622048E+16</v>
      </c>
      <c r="L64" s="1080"/>
      <c r="M64" s="1080"/>
      <c r="N64" s="1080"/>
      <c r="O64" s="1080"/>
      <c r="P64" s="1081"/>
      <c r="Q64" s="98"/>
      <c r="R64" s="154"/>
    </row>
    <row r="65" spans="2:21" s="150" customFormat="1" ht="15" customHeight="1" thickTop="1">
      <c r="B65" s="149"/>
      <c r="C65" s="1031" t="s">
        <v>281</v>
      </c>
      <c r="D65" s="282" t="s">
        <v>234</v>
      </c>
      <c r="E65" s="447">
        <f>SQRT(F65^2+G65^2)</f>
        <v>13.038404810405298</v>
      </c>
      <c r="F65" s="449">
        <f>F62*60</f>
        <v>11</v>
      </c>
      <c r="G65" s="337">
        <f>G62*60</f>
        <v>7</v>
      </c>
      <c r="H65" s="288"/>
      <c r="I65" s="288"/>
      <c r="J65" s="288"/>
      <c r="K65" s="288"/>
      <c r="L65" s="288"/>
      <c r="M65" s="288"/>
      <c r="N65" s="288"/>
      <c r="O65" s="288"/>
      <c r="P65" s="450"/>
      <c r="Q65" s="98"/>
      <c r="R65" s="161"/>
    </row>
    <row r="66" spans="2:21" s="150" customFormat="1" ht="15" customHeight="1" thickBot="1">
      <c r="B66" s="149"/>
      <c r="C66" s="1032"/>
      <c r="D66" s="283"/>
      <c r="E66" s="448">
        <f>E65*60</f>
        <v>782.30428862431791</v>
      </c>
      <c r="F66" s="284">
        <f>F65*60</f>
        <v>660</v>
      </c>
      <c r="G66" s="285">
        <f>G65*60</f>
        <v>420</v>
      </c>
      <c r="H66" s="288"/>
      <c r="I66" s="288"/>
      <c r="J66" s="288"/>
      <c r="K66" s="288"/>
      <c r="L66" s="288"/>
      <c r="M66" s="288"/>
      <c r="N66" s="288"/>
      <c r="O66" s="288"/>
      <c r="P66" s="451"/>
      <c r="Q66" s="98"/>
      <c r="R66" s="139"/>
    </row>
    <row r="67" spans="2:21" s="175" customFormat="1" ht="20.100000000000001" customHeight="1" thickTop="1" thickBot="1">
      <c r="B67" s="173"/>
      <c r="C67" s="286"/>
      <c r="D67" s="287"/>
      <c r="E67" s="1055" t="s">
        <v>254</v>
      </c>
      <c r="F67" s="1056"/>
      <c r="G67" s="1056"/>
      <c r="H67" s="1056"/>
      <c r="I67" s="1056"/>
      <c r="J67" s="1056"/>
      <c r="K67" s="1052" t="s">
        <v>233</v>
      </c>
      <c r="L67" s="1053"/>
      <c r="M67" s="1053"/>
      <c r="N67" s="1053"/>
      <c r="O67" s="1053"/>
      <c r="P67" s="1054"/>
      <c r="Q67" s="174"/>
      <c r="R67" s="183"/>
    </row>
    <row r="68" spans="2:21" s="454" customFormat="1" ht="30" customHeight="1" thickBot="1">
      <c r="B68" s="452"/>
      <c r="C68" s="1084" t="s">
        <v>336</v>
      </c>
      <c r="D68" s="1085"/>
      <c r="E68" s="1085"/>
      <c r="F68" s="1085"/>
      <c r="G68" s="1085"/>
      <c r="H68" s="1085"/>
      <c r="I68" s="1085"/>
      <c r="J68" s="1085"/>
      <c r="K68" s="1085"/>
      <c r="L68" s="1085"/>
      <c r="M68" s="1085"/>
      <c r="N68" s="1085"/>
      <c r="O68" s="1085"/>
      <c r="P68" s="1085"/>
      <c r="Q68" s="453"/>
    </row>
    <row r="69" spans="2:21" ht="20.100000000000001" customHeight="1" thickBot="1">
      <c r="B69" s="66"/>
      <c r="C69" s="1086" t="s">
        <v>333</v>
      </c>
      <c r="D69" s="1087"/>
      <c r="E69" s="493" t="s">
        <v>345</v>
      </c>
      <c r="F69" s="1061" t="s">
        <v>235</v>
      </c>
      <c r="G69" s="1062"/>
      <c r="H69" s="1062"/>
      <c r="I69" s="1065" t="s">
        <v>334</v>
      </c>
      <c r="J69" s="1044"/>
      <c r="K69" s="1065" t="s">
        <v>335</v>
      </c>
      <c r="L69" s="1044"/>
      <c r="M69" s="1043" t="s">
        <v>331</v>
      </c>
      <c r="N69" s="1044"/>
      <c r="O69" s="494"/>
      <c r="P69" s="495" t="s">
        <v>332</v>
      </c>
      <c r="Q69" s="62"/>
    </row>
    <row r="70" spans="2:21" s="150" customFormat="1" ht="15" customHeight="1" thickTop="1" thickBot="1">
      <c r="B70" s="152"/>
      <c r="C70" s="211" t="s">
        <v>269</v>
      </c>
      <c r="D70" s="84"/>
      <c r="E70" s="501">
        <v>525.4</v>
      </c>
      <c r="F70" s="491">
        <v>7.2000000000000005E-4</v>
      </c>
      <c r="G70" s="1082">
        <v>7.2000000000000005E-4</v>
      </c>
      <c r="H70" s="1083"/>
      <c r="I70" s="502"/>
      <c r="J70" s="503"/>
      <c r="K70" s="1059" t="s">
        <v>344</v>
      </c>
      <c r="L70" s="1060"/>
      <c r="M70" s="1057">
        <v>8.31</v>
      </c>
      <c r="N70" s="1058"/>
      <c r="O70" s="504"/>
      <c r="P70" s="505">
        <v>44692</v>
      </c>
      <c r="Q70" s="93"/>
      <c r="R70" s="153"/>
      <c r="S70" s="153"/>
      <c r="T70" s="153"/>
    </row>
    <row r="71" spans="2:21" s="175" customFormat="1" ht="15" customHeight="1" thickTop="1" thickBot="1">
      <c r="B71" s="184"/>
      <c r="C71" s="277" t="s">
        <v>341</v>
      </c>
      <c r="D71" s="278"/>
      <c r="E71" s="280">
        <v>1</v>
      </c>
      <c r="F71" s="280" t="s">
        <v>253</v>
      </c>
      <c r="G71" s="1047" t="s">
        <v>208</v>
      </c>
      <c r="H71" s="1048"/>
      <c r="I71" s="1048"/>
      <c r="J71" s="1048"/>
      <c r="K71" s="1049" t="s">
        <v>209</v>
      </c>
      <c r="L71" s="1050"/>
      <c r="M71" s="1050"/>
      <c r="N71" s="1050"/>
      <c r="O71" s="1050"/>
      <c r="P71" s="1051"/>
      <c r="Q71" s="185"/>
    </row>
    <row r="72" spans="2:21" s="150" customFormat="1" ht="15" customHeight="1" thickTop="1" thickBot="1">
      <c r="B72" s="149"/>
      <c r="C72" s="274" t="s">
        <v>181</v>
      </c>
      <c r="D72" s="275"/>
      <c r="E72" s="281">
        <v>2.7959999999999998</v>
      </c>
      <c r="F72" s="295"/>
      <c r="G72" s="1077">
        <f>IF(E72=0,"",$E$72*$F$24)</f>
        <v>418275646.44923997</v>
      </c>
      <c r="H72" s="1078"/>
      <c r="I72" s="1078"/>
      <c r="J72" s="1078"/>
      <c r="K72" s="1079" t="str">
        <f>IF(F72=0,"",F72*(9.46728*10^12))</f>
        <v/>
      </c>
      <c r="L72" s="1080"/>
      <c r="M72" s="1080"/>
      <c r="N72" s="1080"/>
      <c r="O72" s="1080"/>
      <c r="P72" s="1081"/>
      <c r="Q72" s="98"/>
      <c r="R72" s="506"/>
    </row>
    <row r="73" spans="2:21" s="150" customFormat="1" ht="15" customHeight="1" thickTop="1">
      <c r="B73" s="149"/>
      <c r="C73" s="1031" t="s">
        <v>281</v>
      </c>
      <c r="D73" s="282" t="s">
        <v>234</v>
      </c>
      <c r="E73" s="500">
        <f>E74/60</f>
        <v>2.0935157810411358E-8</v>
      </c>
      <c r="F73" s="449">
        <f>F70*60</f>
        <v>4.3200000000000002E-2</v>
      </c>
      <c r="G73" s="337">
        <f>G70*60</f>
        <v>4.3200000000000002E-2</v>
      </c>
      <c r="H73" s="288"/>
      <c r="I73" s="288"/>
      <c r="J73" s="288"/>
      <c r="K73" s="288"/>
      <c r="L73" s="288"/>
      <c r="M73" s="288"/>
      <c r="N73" s="288"/>
      <c r="O73" s="288"/>
      <c r="P73" s="450"/>
      <c r="Q73" s="98"/>
      <c r="R73" s="498"/>
      <c r="S73"/>
      <c r="T73"/>
      <c r="U73"/>
    </row>
    <row r="74" spans="2:21" s="150" customFormat="1" ht="15" customHeight="1" thickBot="1">
      <c r="B74" s="149"/>
      <c r="C74" s="1032"/>
      <c r="D74" s="283"/>
      <c r="E74" s="499">
        <f>IF(G72&gt;0,E70/G72,IF(K72&gt;0,SQRT(F74^2+G74^2)))</f>
        <v>1.2561094686246815E-6</v>
      </c>
      <c r="F74" s="284">
        <f>F73*60</f>
        <v>2.5920000000000001</v>
      </c>
      <c r="G74" s="285">
        <f>G73*60</f>
        <v>2.5920000000000001</v>
      </c>
      <c r="H74" s="288"/>
      <c r="I74" s="288"/>
      <c r="J74" s="288"/>
      <c r="K74" s="288"/>
      <c r="L74" s="288"/>
      <c r="M74" s="288"/>
      <c r="N74" s="288"/>
      <c r="O74" s="288"/>
      <c r="P74" s="451"/>
      <c r="Q74" s="98"/>
      <c r="R74" s="492"/>
      <c r="S74"/>
    </row>
    <row r="75" spans="2:21" s="150" customFormat="1" ht="9.9499999999999993" customHeight="1" thickTop="1" thickBot="1">
      <c r="B75" s="149"/>
      <c r="C75" s="223"/>
      <c r="D75" s="287"/>
      <c r="E75" s="489"/>
      <c r="F75" s="489"/>
      <c r="G75" s="489"/>
      <c r="H75" s="489"/>
      <c r="I75" s="489"/>
      <c r="J75" s="489"/>
      <c r="K75" s="489"/>
      <c r="L75" s="489"/>
      <c r="M75" s="489"/>
      <c r="N75" s="489"/>
      <c r="O75" s="489"/>
      <c r="P75" s="490"/>
      <c r="Q75" s="98"/>
      <c r="R75" s="139"/>
    </row>
    <row r="76" spans="2:21" s="150" customFormat="1" ht="9.9499999999999993" customHeight="1" thickBot="1">
      <c r="B76" s="162"/>
      <c r="C76" s="163"/>
      <c r="D76" s="163"/>
      <c r="E76" s="164"/>
      <c r="F76" s="165"/>
      <c r="G76" s="165"/>
      <c r="H76" s="165"/>
      <c r="I76" s="165"/>
      <c r="J76" s="166"/>
      <c r="K76" s="167"/>
      <c r="L76" s="167"/>
      <c r="M76" s="167"/>
      <c r="N76" s="167"/>
      <c r="O76" s="167"/>
      <c r="P76" s="167"/>
      <c r="Q76" s="140"/>
      <c r="R76" s="154"/>
    </row>
    <row r="77" spans="2:21" ht="20.100000000000001" customHeight="1" thickTop="1">
      <c r="B77" s="1074" t="s">
        <v>263</v>
      </c>
      <c r="C77" s="1075"/>
      <c r="D77" s="1075"/>
      <c r="E77" s="1075"/>
      <c r="F77" s="1076"/>
      <c r="G77" s="1076"/>
      <c r="H77" s="1076"/>
      <c r="I77" s="1076"/>
      <c r="J77" s="1076"/>
      <c r="K77" s="1076"/>
      <c r="L77" s="1076"/>
      <c r="M77" s="1076"/>
      <c r="N77" s="1076"/>
      <c r="O77" s="1076"/>
      <c r="P77" s="1076"/>
      <c r="Q77" s="1076"/>
    </row>
    <row r="78" spans="2:21" ht="20.100000000000001" customHeight="1">
      <c r="B78" s="194"/>
      <c r="C78" s="190"/>
      <c r="D78" s="190"/>
      <c r="E78" s="190"/>
      <c r="F78" s="138"/>
      <c r="G78" s="138"/>
      <c r="H78" s="138"/>
      <c r="I78" s="138"/>
      <c r="J78" s="138"/>
      <c r="K78" s="138"/>
      <c r="L78" s="138"/>
      <c r="M78" s="138"/>
      <c r="N78" s="138"/>
      <c r="O78" s="138"/>
      <c r="P78" s="138"/>
      <c r="Q78" s="138"/>
    </row>
    <row r="79" spans="2:21" s="188" customFormat="1" ht="9.9499999999999993" customHeight="1">
      <c r="C79" s="191" t="s">
        <v>237</v>
      </c>
      <c r="D79" s="192"/>
      <c r="E79" s="193">
        <f ca="1">TODAY()</f>
        <v>44769</v>
      </c>
      <c r="G79" s="189"/>
    </row>
    <row r="80" spans="2:21" s="186" customFormat="1" ht="9.9499999999999993" customHeight="1">
      <c r="C80" s="195" t="s">
        <v>239</v>
      </c>
      <c r="D80" s="192"/>
      <c r="E80" s="195">
        <v>1477</v>
      </c>
      <c r="F80" s="1073"/>
      <c r="G80" s="1073"/>
      <c r="H80" s="1073"/>
      <c r="I80" s="1073"/>
      <c r="J80" s="1073"/>
      <c r="K80" s="1073"/>
      <c r="L80" s="1073"/>
      <c r="M80" s="187"/>
    </row>
    <row r="81" spans="3:5" ht="9.9499999999999993" customHeight="1">
      <c r="C81" s="192" t="s">
        <v>236</v>
      </c>
      <c r="D81" s="192"/>
      <c r="E81" s="195" t="s">
        <v>238</v>
      </c>
    </row>
  </sheetData>
  <sheetProtection algorithmName="SHA-512" hashValue="CX9SlAwDrqNznJCBWXy0zwbI3XS7HqAGoX1K4OlZ9EWmWCQH8EHiGk5ARLD5KHlDvoKdVc53f3Q5AvpMKevSCA==" saltValue="oSv8dm4CFFgKb6Ml/eFUtw==" spinCount="100000" sheet="1" objects="1" scenarios="1"/>
  <mergeCells count="99">
    <mergeCell ref="H21:J21"/>
    <mergeCell ref="M21:N21"/>
    <mergeCell ref="M29:N29"/>
    <mergeCell ref="K29:L29"/>
    <mergeCell ref="M30:P30"/>
    <mergeCell ref="I29:J29"/>
    <mergeCell ref="I30:J30"/>
    <mergeCell ref="G30:H30"/>
    <mergeCell ref="F25:P26"/>
    <mergeCell ref="H24:J24"/>
    <mergeCell ref="F24:G24"/>
    <mergeCell ref="K21:L21"/>
    <mergeCell ref="M23:P23"/>
    <mergeCell ref="H23:J23"/>
    <mergeCell ref="C23:D23"/>
    <mergeCell ref="C2:Q3"/>
    <mergeCell ref="C4:Q5"/>
    <mergeCell ref="C6:L7"/>
    <mergeCell ref="C8:L9"/>
    <mergeCell ref="M11:N13"/>
    <mergeCell ref="F11:L13"/>
    <mergeCell ref="C13:D13"/>
    <mergeCell ref="C17:N17"/>
    <mergeCell ref="C15:L15"/>
    <mergeCell ref="C18:P18"/>
    <mergeCell ref="C16:L16"/>
    <mergeCell ref="F23:G23"/>
    <mergeCell ref="C14:N14"/>
    <mergeCell ref="H22:P22"/>
    <mergeCell ref="H20:J20"/>
    <mergeCell ref="C25:C27"/>
    <mergeCell ref="C28:P28"/>
    <mergeCell ref="M55:N55"/>
    <mergeCell ref="C51:C52"/>
    <mergeCell ref="F58:P58"/>
    <mergeCell ref="I44:J44"/>
    <mergeCell ref="K45:P45"/>
    <mergeCell ref="F46:P46"/>
    <mergeCell ref="G43:H43"/>
    <mergeCell ref="K51:P51"/>
    <mergeCell ref="K43:L43"/>
    <mergeCell ref="M43:N43"/>
    <mergeCell ref="G29:H29"/>
    <mergeCell ref="E33:P34"/>
    <mergeCell ref="K32:P32"/>
    <mergeCell ref="F51:J51"/>
    <mergeCell ref="F80:L80"/>
    <mergeCell ref="B77:Q77"/>
    <mergeCell ref="C65:C66"/>
    <mergeCell ref="G64:J64"/>
    <mergeCell ref="K64:P64"/>
    <mergeCell ref="G70:H70"/>
    <mergeCell ref="K70:L70"/>
    <mergeCell ref="M70:N70"/>
    <mergeCell ref="K72:P72"/>
    <mergeCell ref="C68:P68"/>
    <mergeCell ref="C69:D69"/>
    <mergeCell ref="G72:J72"/>
    <mergeCell ref="G71:J71"/>
    <mergeCell ref="K71:P71"/>
    <mergeCell ref="C73:C74"/>
    <mergeCell ref="C31:C32"/>
    <mergeCell ref="K37:L37"/>
    <mergeCell ref="M37:N37"/>
    <mergeCell ref="G31:H31"/>
    <mergeCell ref="G37:H37"/>
    <mergeCell ref="I31:P31"/>
    <mergeCell ref="C45:C46"/>
    <mergeCell ref="F45:J45"/>
    <mergeCell ref="I38:J38"/>
    <mergeCell ref="I39:J39"/>
    <mergeCell ref="C39:C40"/>
    <mergeCell ref="C61:E61"/>
    <mergeCell ref="M61:N61"/>
    <mergeCell ref="F61:H61"/>
    <mergeCell ref="M69:N69"/>
    <mergeCell ref="G63:J63"/>
    <mergeCell ref="K63:P63"/>
    <mergeCell ref="K67:P67"/>
    <mergeCell ref="E67:J67"/>
    <mergeCell ref="M62:N62"/>
    <mergeCell ref="K62:L62"/>
    <mergeCell ref="F69:H69"/>
    <mergeCell ref="G62:H62"/>
    <mergeCell ref="I69:J69"/>
    <mergeCell ref="K69:L69"/>
    <mergeCell ref="K61:L61"/>
    <mergeCell ref="C57:C58"/>
    <mergeCell ref="K57:P57"/>
    <mergeCell ref="G55:H55"/>
    <mergeCell ref="I56:J56"/>
    <mergeCell ref="C60:P60"/>
    <mergeCell ref="F57:J57"/>
    <mergeCell ref="I50:J50"/>
    <mergeCell ref="G49:H49"/>
    <mergeCell ref="F52:P52"/>
    <mergeCell ref="M49:N49"/>
    <mergeCell ref="K55:L55"/>
    <mergeCell ref="K49:L49"/>
  </mergeCells>
  <phoneticPr fontId="0" type="noConversion"/>
  <hyperlinks>
    <hyperlink ref="K51:P51" r:id="rId1" display=" http://www.pvol.ehu.es/pvol/tools.jsp?action=jdcm" xr:uid="{00000000-0004-0000-0100-000003000000}"/>
    <hyperlink ref="K51" r:id="rId2" xr:uid="{00000000-0004-0000-0100-000004000000}"/>
    <hyperlink ref="K57:P57" r:id="rId3" display=" http://www.pvol.ehu.es/pvol/tools.jsp?action=jdcm" xr:uid="{00000000-0004-0000-0100-000006000000}"/>
    <hyperlink ref="K57" r:id="rId4" xr:uid="{00000000-0004-0000-0100-000007000000}"/>
    <hyperlink ref="K67" r:id="rId5" xr:uid="{623EEC5C-7DB2-4399-9312-AD90A58C327E}"/>
    <hyperlink ref="K32" r:id="rId6" xr:uid="{B8618A57-700E-4FB7-87D1-66CB1F9B0F18}"/>
  </hyperlinks>
  <printOptions horizontalCentered="1"/>
  <pageMargins left="0.25" right="0.25" top="0.75" bottom="0.75" header="0.3" footer="0.3"/>
  <pageSetup paperSize="9" scale="67" orientation="portrait" r:id="rId7"/>
  <headerFooter alignWithMargins="0"/>
  <drawing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pageSetUpPr fitToPage="1"/>
  </sheetPr>
  <dimension ref="B1:Z100"/>
  <sheetViews>
    <sheetView showGridLines="0" topLeftCell="A54" workbookViewId="0">
      <selection activeCell="I75" sqref="I75"/>
    </sheetView>
  </sheetViews>
  <sheetFormatPr baseColWidth="10" defaultColWidth="11.5546875" defaultRowHeight="14.25"/>
  <cols>
    <col min="1" max="1" width="1.77734375" style="47" customWidth="1"/>
    <col min="2" max="2" width="16.6640625" style="47" customWidth="1"/>
    <col min="3" max="3" width="13.21875" style="47" customWidth="1"/>
    <col min="4" max="4" width="5.88671875" style="47" customWidth="1"/>
    <col min="5" max="7" width="4.77734375" style="47" bestFit="1" customWidth="1"/>
    <col min="8" max="8" width="5.77734375" style="47" customWidth="1"/>
    <col min="9" max="9" width="4.33203125" style="47" bestFit="1" customWidth="1"/>
    <col min="10" max="10" width="1.5546875" style="47" bestFit="1" customWidth="1"/>
    <col min="11" max="11" width="4.33203125" style="47" bestFit="1" customWidth="1"/>
    <col min="12" max="12" width="6.44140625" style="47" bestFit="1" customWidth="1"/>
    <col min="13" max="13" width="3.88671875" style="47" bestFit="1" customWidth="1"/>
    <col min="14" max="14" width="1.5546875" style="47" bestFit="1" customWidth="1"/>
    <col min="15" max="15" width="3.88671875" style="47" bestFit="1" customWidth="1"/>
    <col min="16" max="16" width="5.21875" style="47" hidden="1" customWidth="1"/>
    <col min="17" max="17" width="1.5546875" style="47" hidden="1" customWidth="1"/>
    <col min="18" max="18" width="4.77734375" style="47" hidden="1" customWidth="1"/>
    <col min="19" max="19" width="4.44140625" style="47" hidden="1" customWidth="1"/>
    <col min="20" max="20" width="3.88671875" style="47" hidden="1" customWidth="1"/>
    <col min="21" max="21" width="18.33203125" style="47" customWidth="1"/>
    <col min="22" max="22" width="27.21875" style="47" customWidth="1"/>
    <col min="23" max="23" width="4.33203125" style="47" customWidth="1"/>
    <col min="24" max="24" width="1.5546875" style="47" customWidth="1"/>
    <col min="25" max="25" width="4.33203125" style="47" customWidth="1"/>
    <col min="26" max="26" width="5.5546875" style="47" customWidth="1"/>
    <col min="27" max="16384" width="11.5546875" style="47"/>
  </cols>
  <sheetData>
    <row r="1" spans="2:22" ht="15" thickBot="1"/>
    <row r="2" spans="2:22" ht="25.15" customHeight="1" thickTop="1">
      <c r="B2" s="1174" t="s">
        <v>100</v>
      </c>
      <c r="C2" s="1175"/>
      <c r="D2" s="1175"/>
      <c r="E2" s="1175"/>
      <c r="F2" s="1175"/>
      <c r="G2" s="1175"/>
      <c r="H2" s="1175"/>
      <c r="I2" s="1175"/>
      <c r="J2" s="1175"/>
      <c r="K2" s="1175"/>
      <c r="L2" s="1175"/>
      <c r="M2" s="1175"/>
      <c r="N2" s="1175"/>
      <c r="O2" s="1175"/>
      <c r="P2" s="1175"/>
      <c r="Q2" s="1175"/>
      <c r="R2" s="1175"/>
      <c r="S2" s="1175"/>
      <c r="T2" s="1175"/>
      <c r="U2" s="1176"/>
      <c r="V2" s="1167"/>
    </row>
    <row r="3" spans="2:22" s="55" customFormat="1" ht="25.15" customHeight="1" thickBot="1">
      <c r="B3" s="1171" t="s">
        <v>101</v>
      </c>
      <c r="C3" s="1172"/>
      <c r="D3" s="1172"/>
      <c r="E3" s="1172"/>
      <c r="F3" s="1172"/>
      <c r="G3" s="1172"/>
      <c r="H3" s="1172"/>
      <c r="I3" s="1172"/>
      <c r="J3" s="1172"/>
      <c r="K3" s="1172"/>
      <c r="L3" s="1172"/>
      <c r="M3" s="1172"/>
      <c r="N3" s="1172"/>
      <c r="O3" s="1172"/>
      <c r="P3" s="1172"/>
      <c r="Q3" s="1172"/>
      <c r="R3" s="1172"/>
      <c r="S3" s="1172"/>
      <c r="T3" s="1172"/>
      <c r="U3" s="1173"/>
      <c r="V3" s="1168"/>
    </row>
    <row r="4" spans="2:22" s="55" customFormat="1" ht="20.100000000000001" customHeight="1" thickTop="1">
      <c r="B4" s="1177" t="s">
        <v>86</v>
      </c>
      <c r="C4" s="1178"/>
      <c r="D4" s="1179" t="s">
        <v>99</v>
      </c>
      <c r="E4" s="1180"/>
      <c r="F4" s="1180"/>
      <c r="G4" s="1180"/>
      <c r="H4" s="1180"/>
      <c r="I4" s="1180"/>
      <c r="J4" s="1180"/>
      <c r="K4" s="1180"/>
      <c r="L4" s="1180"/>
      <c r="M4" s="1180"/>
      <c r="N4" s="1180"/>
      <c r="O4" s="1180"/>
      <c r="P4" s="40"/>
      <c r="Q4" s="40"/>
      <c r="R4" s="40"/>
      <c r="S4" s="40"/>
      <c r="T4" s="40"/>
      <c r="U4" s="1169" t="s">
        <v>121</v>
      </c>
      <c r="V4" s="44" t="s">
        <v>160</v>
      </c>
    </row>
    <row r="5" spans="2:22" ht="20.100000000000001" customHeight="1">
      <c r="B5" s="1177" t="s">
        <v>87</v>
      </c>
      <c r="C5" s="1178"/>
      <c r="D5" s="1188" t="s">
        <v>85</v>
      </c>
      <c r="E5" s="1189"/>
      <c r="F5" s="1189"/>
      <c r="G5" s="1189"/>
      <c r="H5" s="1189"/>
      <c r="I5" s="1189"/>
      <c r="J5" s="1189"/>
      <c r="K5" s="1189"/>
      <c r="L5" s="1189"/>
      <c r="M5" s="1189"/>
      <c r="N5" s="1189"/>
      <c r="O5" s="1189"/>
      <c r="P5" s="40"/>
      <c r="Q5" s="40"/>
      <c r="R5" s="40"/>
      <c r="S5" s="40"/>
      <c r="T5" s="40"/>
      <c r="U5" s="1170"/>
      <c r="V5" s="88" t="s">
        <v>161</v>
      </c>
    </row>
    <row r="6" spans="2:22" ht="15" customHeight="1">
      <c r="B6" s="1183" t="s">
        <v>39</v>
      </c>
      <c r="C6" s="1181" t="s">
        <v>72</v>
      </c>
      <c r="D6" s="1185" t="s">
        <v>139</v>
      </c>
      <c r="E6" s="1186"/>
      <c r="F6" s="1186"/>
      <c r="G6" s="1187"/>
      <c r="H6" s="1190" t="s">
        <v>103</v>
      </c>
      <c r="I6" s="1181" t="s">
        <v>104</v>
      </c>
      <c r="J6" s="1192"/>
      <c r="K6" s="1192"/>
      <c r="L6" s="1192"/>
      <c r="M6" s="1181" t="s">
        <v>120</v>
      </c>
      <c r="N6" s="1192"/>
      <c r="O6" s="1193"/>
      <c r="P6" s="40"/>
      <c r="Q6" s="40"/>
      <c r="R6" s="40"/>
      <c r="S6" s="40"/>
      <c r="T6" s="40"/>
      <c r="U6" s="1170"/>
      <c r="V6" s="45"/>
    </row>
    <row r="7" spans="2:22" ht="15.75" thickBot="1">
      <c r="B7" s="1184"/>
      <c r="C7" s="1182"/>
      <c r="D7" s="1" t="s">
        <v>13</v>
      </c>
      <c r="E7" s="2" t="s">
        <v>2</v>
      </c>
      <c r="F7" s="2" t="s">
        <v>3</v>
      </c>
      <c r="G7" s="2" t="s">
        <v>63</v>
      </c>
      <c r="H7" s="1191"/>
      <c r="I7" s="1194"/>
      <c r="J7" s="1194"/>
      <c r="K7" s="1194"/>
      <c r="L7" s="1194"/>
      <c r="M7" s="1194"/>
      <c r="N7" s="1194"/>
      <c r="O7" s="1195"/>
      <c r="P7" s="40"/>
      <c r="Q7" s="40"/>
      <c r="R7" s="40"/>
      <c r="S7" s="40"/>
      <c r="T7" s="40"/>
      <c r="U7" s="1170"/>
      <c r="V7" s="46"/>
    </row>
    <row r="8" spans="2:22" ht="15.75" thickTop="1">
      <c r="B8" s="141" t="s">
        <v>40</v>
      </c>
      <c r="C8" s="7" t="s">
        <v>42</v>
      </c>
      <c r="D8" s="8" t="s">
        <v>6</v>
      </c>
      <c r="E8" s="9">
        <f>M8*10^(-3)*I8</f>
        <v>14.8988</v>
      </c>
      <c r="F8" s="9">
        <f>O8*10^(-3)*K8</f>
        <v>10.002799999999999</v>
      </c>
      <c r="G8" s="10">
        <f t="shared" ref="G8:G66" si="0">SQRT(E8^2+F8^2)</f>
        <v>17.945201288366757</v>
      </c>
      <c r="H8" s="11">
        <f t="shared" ref="H8:H66" si="1">IF(E8=0,"",SQRT((36^2)+(24^2))/SQRT((E8^2)+(F8^2)))</f>
        <v>2.411040957986696</v>
      </c>
      <c r="I8" s="12">
        <v>2191</v>
      </c>
      <c r="J8" s="13" t="s">
        <v>15</v>
      </c>
      <c r="K8" s="14">
        <v>1471</v>
      </c>
      <c r="L8" s="15">
        <f t="shared" ref="L8:L66" si="2">IF(H8=0,"",I8*K8/10^6)</f>
        <v>3.2229610000000002</v>
      </c>
      <c r="M8" s="16">
        <v>6.8</v>
      </c>
      <c r="N8" s="17" t="s">
        <v>15</v>
      </c>
      <c r="O8" s="18">
        <v>6.8</v>
      </c>
      <c r="P8" s="56">
        <f t="shared" ref="P8:P13" si="3">E8/(M8*10^(-3))</f>
        <v>2191</v>
      </c>
      <c r="Q8" s="3" t="s">
        <v>15</v>
      </c>
      <c r="R8" s="57">
        <f t="shared" ref="R8:R13" si="4">F8/(O8*10^(-3))</f>
        <v>1471</v>
      </c>
      <c r="S8" s="4">
        <f t="shared" ref="S8:S13" si="5">P8-I8</f>
        <v>0</v>
      </c>
      <c r="T8" s="5">
        <f t="shared" ref="T8:T13" si="6">R8-K8</f>
        <v>0</v>
      </c>
      <c r="U8" s="22"/>
      <c r="V8" s="48"/>
    </row>
    <row r="9" spans="2:22" ht="15">
      <c r="B9" s="141" t="s">
        <v>40</v>
      </c>
      <c r="C9" s="7" t="s">
        <v>43</v>
      </c>
      <c r="D9" s="8" t="s">
        <v>6</v>
      </c>
      <c r="E9" s="9">
        <f t="shared" ref="E9:E67" si="7">M9*10^(-3)*I9</f>
        <v>18.396000000000001</v>
      </c>
      <c r="F9" s="9">
        <f t="shared" ref="F9:F67" si="8">O9*10^(-3)*K9</f>
        <v>18.396000000000001</v>
      </c>
      <c r="G9" s="10">
        <f t="shared" si="0"/>
        <v>26.015872693415456</v>
      </c>
      <c r="H9" s="11">
        <f t="shared" si="1"/>
        <v>1.6630852947138894</v>
      </c>
      <c r="I9" s="12">
        <v>2044</v>
      </c>
      <c r="J9" s="13" t="s">
        <v>15</v>
      </c>
      <c r="K9" s="14">
        <v>2044</v>
      </c>
      <c r="L9" s="15">
        <f t="shared" si="2"/>
        <v>4.1779359999999999</v>
      </c>
      <c r="M9" s="16">
        <v>9</v>
      </c>
      <c r="N9" s="17" t="s">
        <v>15</v>
      </c>
      <c r="O9" s="18">
        <v>9</v>
      </c>
      <c r="P9" s="56">
        <f t="shared" si="3"/>
        <v>2043.9999999999998</v>
      </c>
      <c r="Q9" s="6" t="s">
        <v>15</v>
      </c>
      <c r="R9" s="57">
        <f t="shared" si="4"/>
        <v>2043.9999999999998</v>
      </c>
      <c r="S9" s="4">
        <f t="shared" si="5"/>
        <v>0</v>
      </c>
      <c r="T9" s="5">
        <f t="shared" si="6"/>
        <v>0</v>
      </c>
      <c r="U9" s="22"/>
      <c r="V9" s="49"/>
    </row>
    <row r="10" spans="2:22" ht="15">
      <c r="B10" s="141" t="s">
        <v>40</v>
      </c>
      <c r="C10" s="7" t="s">
        <v>41</v>
      </c>
      <c r="D10" s="8" t="s">
        <v>6</v>
      </c>
      <c r="E10" s="9">
        <f t="shared" si="7"/>
        <v>27.603000000000002</v>
      </c>
      <c r="F10" s="9">
        <f t="shared" si="8"/>
        <v>18.396000000000001</v>
      </c>
      <c r="G10" s="10">
        <f t="shared" si="0"/>
        <v>33.171349460038556</v>
      </c>
      <c r="H10" s="11">
        <f t="shared" si="1"/>
        <v>1.3043369054880043</v>
      </c>
      <c r="I10" s="12">
        <v>3067</v>
      </c>
      <c r="J10" s="13" t="s">
        <v>15</v>
      </c>
      <c r="K10" s="14">
        <v>2044</v>
      </c>
      <c r="L10" s="15">
        <f t="shared" si="2"/>
        <v>6.268948</v>
      </c>
      <c r="M10" s="16">
        <v>9</v>
      </c>
      <c r="N10" s="17" t="s">
        <v>15</v>
      </c>
      <c r="O10" s="18">
        <v>9</v>
      </c>
      <c r="P10" s="56">
        <f t="shared" si="3"/>
        <v>3067</v>
      </c>
      <c r="Q10" s="6" t="s">
        <v>15</v>
      </c>
      <c r="R10" s="57">
        <f t="shared" si="4"/>
        <v>2043.9999999999998</v>
      </c>
      <c r="S10" s="4">
        <f t="shared" si="5"/>
        <v>0</v>
      </c>
      <c r="T10" s="5">
        <f t="shared" si="6"/>
        <v>0</v>
      </c>
      <c r="U10" s="22"/>
      <c r="V10" s="49"/>
    </row>
    <row r="11" spans="2:22" ht="15">
      <c r="B11" s="141" t="s">
        <v>46</v>
      </c>
      <c r="C11" s="7" t="s">
        <v>105</v>
      </c>
      <c r="D11" s="8" t="s">
        <v>6</v>
      </c>
      <c r="E11" s="9">
        <f t="shared" si="7"/>
        <v>8.9977499999999999</v>
      </c>
      <c r="F11" s="9">
        <f t="shared" si="8"/>
        <v>6.7015500000000001</v>
      </c>
      <c r="G11" s="10">
        <f t="shared" si="0"/>
        <v>11.219192371334044</v>
      </c>
      <c r="H11" s="11">
        <f t="shared" si="1"/>
        <v>3.8564821667660878</v>
      </c>
      <c r="I11" s="12">
        <v>1395</v>
      </c>
      <c r="J11" s="13" t="s">
        <v>15</v>
      </c>
      <c r="K11" s="14">
        <v>1039</v>
      </c>
      <c r="L11" s="15">
        <f t="shared" si="2"/>
        <v>1.4494050000000001</v>
      </c>
      <c r="M11" s="16">
        <v>6.45</v>
      </c>
      <c r="N11" s="17" t="s">
        <v>15</v>
      </c>
      <c r="O11" s="18">
        <v>6.45</v>
      </c>
      <c r="P11" s="56">
        <f t="shared" si="3"/>
        <v>1395</v>
      </c>
      <c r="Q11" s="6" t="s">
        <v>15</v>
      </c>
      <c r="R11" s="57">
        <f t="shared" si="4"/>
        <v>1039</v>
      </c>
      <c r="S11" s="4">
        <f t="shared" si="5"/>
        <v>0</v>
      </c>
      <c r="T11" s="5">
        <f t="shared" si="6"/>
        <v>0</v>
      </c>
      <c r="U11" s="22" t="s">
        <v>111</v>
      </c>
      <c r="V11" s="49"/>
    </row>
    <row r="12" spans="2:22" ht="15">
      <c r="B12" s="141" t="s">
        <v>46</v>
      </c>
      <c r="C12" s="7" t="s">
        <v>106</v>
      </c>
      <c r="D12" s="8" t="s">
        <v>6</v>
      </c>
      <c r="E12" s="9">
        <f t="shared" si="7"/>
        <v>15.155200000000001</v>
      </c>
      <c r="F12" s="9">
        <f t="shared" si="8"/>
        <v>15.155200000000001</v>
      </c>
      <c r="G12" s="10">
        <f t="shared" si="0"/>
        <v>21.432689380476731</v>
      </c>
      <c r="H12" s="11">
        <f t="shared" si="1"/>
        <v>2.018720774490387</v>
      </c>
      <c r="I12" s="12">
        <v>2048</v>
      </c>
      <c r="J12" s="13" t="s">
        <v>15</v>
      </c>
      <c r="K12" s="14">
        <v>2048</v>
      </c>
      <c r="L12" s="15">
        <f t="shared" si="2"/>
        <v>4.1943039999999998</v>
      </c>
      <c r="M12" s="16">
        <v>7.4</v>
      </c>
      <c r="N12" s="17" t="s">
        <v>15</v>
      </c>
      <c r="O12" s="18">
        <v>7.4</v>
      </c>
      <c r="P12" s="56">
        <f t="shared" si="3"/>
        <v>2048</v>
      </c>
      <c r="Q12" s="6" t="s">
        <v>15</v>
      </c>
      <c r="R12" s="57">
        <f t="shared" si="4"/>
        <v>2048</v>
      </c>
      <c r="S12" s="4">
        <f t="shared" si="5"/>
        <v>0</v>
      </c>
      <c r="T12" s="5">
        <f t="shared" si="6"/>
        <v>0</v>
      </c>
      <c r="U12" s="22"/>
      <c r="V12" s="49"/>
    </row>
    <row r="13" spans="2:22" ht="15">
      <c r="B13" s="141" t="s">
        <v>17</v>
      </c>
      <c r="C13" s="7" t="s">
        <v>4</v>
      </c>
      <c r="D13" s="8" t="s">
        <v>6</v>
      </c>
      <c r="E13" s="9">
        <f t="shared" si="7"/>
        <v>3.5840000000000001</v>
      </c>
      <c r="F13" s="9">
        <f t="shared" si="8"/>
        <v>2.6880000000000002</v>
      </c>
      <c r="G13" s="10">
        <f t="shared" si="0"/>
        <v>4.4800000000000004</v>
      </c>
      <c r="H13" s="11">
        <f t="shared" si="1"/>
        <v>9.6577266307071135</v>
      </c>
      <c r="I13" s="12">
        <v>640</v>
      </c>
      <c r="J13" s="13" t="s">
        <v>15</v>
      </c>
      <c r="K13" s="14">
        <v>480</v>
      </c>
      <c r="L13" s="15">
        <f t="shared" si="2"/>
        <v>0.30719999999999997</v>
      </c>
      <c r="M13" s="16">
        <v>5.6</v>
      </c>
      <c r="N13" s="17" t="s">
        <v>15</v>
      </c>
      <c r="O13" s="18">
        <v>5.6</v>
      </c>
      <c r="P13" s="56">
        <f t="shared" si="3"/>
        <v>640</v>
      </c>
      <c r="Q13" s="6" t="s">
        <v>15</v>
      </c>
      <c r="R13" s="57">
        <f t="shared" si="4"/>
        <v>480.00000000000006</v>
      </c>
      <c r="S13" s="4">
        <f t="shared" si="5"/>
        <v>0</v>
      </c>
      <c r="T13" s="5">
        <f t="shared" si="6"/>
        <v>0</v>
      </c>
      <c r="U13" s="39" t="s">
        <v>122</v>
      </c>
      <c r="V13" s="49"/>
    </row>
    <row r="14" spans="2:22" ht="15">
      <c r="B14" s="141" t="s">
        <v>17</v>
      </c>
      <c r="C14" s="7" t="s">
        <v>109</v>
      </c>
      <c r="D14" s="8" t="s">
        <v>6</v>
      </c>
      <c r="E14" s="9">
        <f t="shared" si="7"/>
        <v>3.5840000000000001</v>
      </c>
      <c r="F14" s="9">
        <f t="shared" si="8"/>
        <v>2.6880000000000002</v>
      </c>
      <c r="G14" s="10">
        <f t="shared" si="0"/>
        <v>4.4800000000000004</v>
      </c>
      <c r="H14" s="11">
        <f t="shared" si="1"/>
        <v>9.6577266307071135</v>
      </c>
      <c r="I14" s="12">
        <v>640</v>
      </c>
      <c r="J14" s="13" t="s">
        <v>15</v>
      </c>
      <c r="K14" s="14">
        <v>480</v>
      </c>
      <c r="L14" s="15">
        <f t="shared" si="2"/>
        <v>0.30719999999999997</v>
      </c>
      <c r="M14" s="16">
        <v>5.6</v>
      </c>
      <c r="N14" s="17" t="s">
        <v>15</v>
      </c>
      <c r="O14" s="18">
        <v>5.6</v>
      </c>
      <c r="P14" s="56"/>
      <c r="Q14" s="6"/>
      <c r="R14" s="57"/>
      <c r="S14" s="4"/>
      <c r="T14" s="5"/>
      <c r="U14" s="22" t="s">
        <v>122</v>
      </c>
      <c r="V14" s="49"/>
    </row>
    <row r="15" spans="2:22" ht="15">
      <c r="B15" s="141" t="s">
        <v>17</v>
      </c>
      <c r="C15" s="7" t="s">
        <v>62</v>
      </c>
      <c r="D15" s="8" t="s">
        <v>6</v>
      </c>
      <c r="E15" s="9">
        <f t="shared" si="7"/>
        <v>4.8765999999999998</v>
      </c>
      <c r="F15" s="9">
        <f t="shared" si="8"/>
        <v>3.6556000000000002</v>
      </c>
      <c r="G15" s="10">
        <f t="shared" si="0"/>
        <v>6.0946401796988798</v>
      </c>
      <c r="H15" s="11">
        <f t="shared" si="1"/>
        <v>7.0991254659607428</v>
      </c>
      <c r="I15" s="12">
        <v>659</v>
      </c>
      <c r="J15" s="13" t="s">
        <v>15</v>
      </c>
      <c r="K15" s="14">
        <v>494</v>
      </c>
      <c r="L15" s="15">
        <f t="shared" si="2"/>
        <v>0.325546</v>
      </c>
      <c r="M15" s="16">
        <v>7.4</v>
      </c>
      <c r="N15" s="17" t="s">
        <v>15</v>
      </c>
      <c r="O15" s="18">
        <v>7.4</v>
      </c>
      <c r="P15" s="56">
        <f>E15/(M15*10^(-3))</f>
        <v>659</v>
      </c>
      <c r="Q15" s="6" t="s">
        <v>15</v>
      </c>
      <c r="R15" s="57">
        <f>F15/(O15*10^(-3))</f>
        <v>494</v>
      </c>
      <c r="S15" s="4">
        <f>P15-I15</f>
        <v>0</v>
      </c>
      <c r="T15" s="5">
        <f>R15-K15</f>
        <v>0</v>
      </c>
      <c r="U15" s="22" t="s">
        <v>123</v>
      </c>
      <c r="V15" s="49"/>
    </row>
    <row r="16" spans="2:22" ht="15">
      <c r="B16" s="141" t="s">
        <v>17</v>
      </c>
      <c r="C16" s="7" t="s">
        <v>107</v>
      </c>
      <c r="D16" s="8" t="s">
        <v>6</v>
      </c>
      <c r="E16" s="9">
        <f t="shared" si="7"/>
        <v>8.9784000000000006</v>
      </c>
      <c r="F16" s="9">
        <f t="shared" si="8"/>
        <v>6.7080000000000002</v>
      </c>
      <c r="G16" s="10">
        <f t="shared" si="0"/>
        <v>11.207539005508748</v>
      </c>
      <c r="H16" s="11">
        <f t="shared" si="1"/>
        <v>3.8604920566684084</v>
      </c>
      <c r="I16" s="12">
        <v>1392</v>
      </c>
      <c r="J16" s="13" t="s">
        <v>15</v>
      </c>
      <c r="K16" s="14">
        <v>1040</v>
      </c>
      <c r="L16" s="15">
        <f t="shared" si="2"/>
        <v>1.4476800000000001</v>
      </c>
      <c r="M16" s="16">
        <v>6.45</v>
      </c>
      <c r="N16" s="17" t="s">
        <v>15</v>
      </c>
      <c r="O16" s="18">
        <v>6.45</v>
      </c>
      <c r="P16" s="56">
        <f>E16/(M16*10^(-3))</f>
        <v>1392</v>
      </c>
      <c r="Q16" s="6" t="s">
        <v>15</v>
      </c>
      <c r="R16" s="57">
        <f>F16/(O16*10^(-3))</f>
        <v>1040</v>
      </c>
      <c r="S16" s="4">
        <f>P16-I16</f>
        <v>0</v>
      </c>
      <c r="T16" s="5">
        <f>R16-K16</f>
        <v>0</v>
      </c>
      <c r="U16" s="22" t="s">
        <v>111</v>
      </c>
      <c r="V16" s="49"/>
    </row>
    <row r="17" spans="2:26" ht="15">
      <c r="B17" s="141" t="s">
        <v>17</v>
      </c>
      <c r="C17" s="7" t="s">
        <v>112</v>
      </c>
      <c r="D17" s="8" t="s">
        <v>6</v>
      </c>
      <c r="E17" s="9">
        <f t="shared" si="7"/>
        <v>17.9604</v>
      </c>
      <c r="F17" s="9">
        <f t="shared" si="8"/>
        <v>13.521600000000001</v>
      </c>
      <c r="G17" s="10">
        <f t="shared" si="0"/>
        <v>22.481317459615219</v>
      </c>
      <c r="H17" s="11">
        <f t="shared" si="1"/>
        <v>1.9245587089498093</v>
      </c>
      <c r="I17" s="12">
        <v>3326</v>
      </c>
      <c r="J17" s="13" t="s">
        <v>15</v>
      </c>
      <c r="K17" s="14">
        <v>2504</v>
      </c>
      <c r="L17" s="15">
        <f t="shared" si="2"/>
        <v>8.3283039999999993</v>
      </c>
      <c r="M17" s="16">
        <v>5.4</v>
      </c>
      <c r="N17" s="17" t="s">
        <v>15</v>
      </c>
      <c r="O17" s="18">
        <v>5.4</v>
      </c>
      <c r="P17" s="56"/>
      <c r="Q17" s="6"/>
      <c r="R17" s="57"/>
      <c r="S17" s="4"/>
      <c r="T17" s="5"/>
      <c r="U17" s="22" t="s">
        <v>124</v>
      </c>
      <c r="V17" s="49"/>
    </row>
    <row r="18" spans="2:26" ht="15">
      <c r="B18" s="141" t="s">
        <v>149</v>
      </c>
      <c r="C18" s="7" t="s">
        <v>150</v>
      </c>
      <c r="D18" s="8" t="s">
        <v>6</v>
      </c>
      <c r="E18" s="9">
        <f t="shared" si="7"/>
        <v>4.7952000000000004</v>
      </c>
      <c r="F18" s="9">
        <f t="shared" si="8"/>
        <v>3.6112000000000002</v>
      </c>
      <c r="G18" s="10">
        <f t="shared" si="0"/>
        <v>6.002891676517244</v>
      </c>
      <c r="H18" s="11">
        <f t="shared" si="1"/>
        <v>7.2076288624069074</v>
      </c>
      <c r="I18" s="12">
        <v>648</v>
      </c>
      <c r="J18" s="13" t="s">
        <v>15</v>
      </c>
      <c r="K18" s="14">
        <v>488</v>
      </c>
      <c r="L18" s="15">
        <f t="shared" si="2"/>
        <v>0.31622400000000001</v>
      </c>
      <c r="M18" s="16">
        <v>7.4</v>
      </c>
      <c r="N18" s="17" t="s">
        <v>15</v>
      </c>
      <c r="O18" s="18">
        <v>7.4</v>
      </c>
      <c r="P18" s="56"/>
      <c r="Q18" s="6"/>
      <c r="R18" s="57"/>
      <c r="S18" s="4"/>
      <c r="T18" s="5"/>
      <c r="U18" s="22" t="s">
        <v>125</v>
      </c>
      <c r="V18" s="49" t="s">
        <v>151</v>
      </c>
    </row>
    <row r="19" spans="2:26" ht="15">
      <c r="B19" s="141" t="s">
        <v>8</v>
      </c>
      <c r="C19" s="7" t="s">
        <v>73</v>
      </c>
      <c r="D19" s="8" t="s">
        <v>7</v>
      </c>
      <c r="E19" s="9">
        <f t="shared" si="7"/>
        <v>19.722239999999999</v>
      </c>
      <c r="F19" s="9">
        <f t="shared" si="8"/>
        <v>13.148160000000001</v>
      </c>
      <c r="G19" s="10">
        <f t="shared" si="0"/>
        <v>23.703182529002305</v>
      </c>
      <c r="H19" s="11">
        <f t="shared" si="1"/>
        <v>1.8253504672897196</v>
      </c>
      <c r="I19" s="12">
        <v>3072</v>
      </c>
      <c r="J19" s="13" t="s">
        <v>15</v>
      </c>
      <c r="K19" s="14">
        <v>2048</v>
      </c>
      <c r="L19" s="15">
        <f t="shared" si="2"/>
        <v>6.2914560000000002</v>
      </c>
      <c r="M19" s="16">
        <v>6.42</v>
      </c>
      <c r="N19" s="17" t="s">
        <v>15</v>
      </c>
      <c r="O19" s="18">
        <v>6.42</v>
      </c>
      <c r="P19" s="56">
        <f>E19/(M19*10^(-3))</f>
        <v>3071.9999999999995</v>
      </c>
      <c r="Q19" s="6" t="s">
        <v>15</v>
      </c>
      <c r="R19" s="57">
        <f>F19/(O19*10^(-3))</f>
        <v>2048</v>
      </c>
      <c r="S19" s="4">
        <f>P19-I19</f>
        <v>0</v>
      </c>
      <c r="T19" s="5">
        <f>R19-K19</f>
        <v>0</v>
      </c>
      <c r="U19" s="22"/>
      <c r="V19" s="49"/>
    </row>
    <row r="20" spans="2:26" ht="15">
      <c r="B20" s="141" t="s">
        <v>8</v>
      </c>
      <c r="C20" s="7" t="s">
        <v>26</v>
      </c>
      <c r="D20" s="8" t="s">
        <v>7</v>
      </c>
      <c r="E20" s="9">
        <f t="shared" si="7"/>
        <v>22.20036</v>
      </c>
      <c r="F20" s="9">
        <f t="shared" si="8"/>
        <v>14.798100000000002</v>
      </c>
      <c r="G20" s="10">
        <f t="shared" si="0"/>
        <v>26.680325105582956</v>
      </c>
      <c r="H20" s="11">
        <f t="shared" si="1"/>
        <v>1.6216674697308759</v>
      </c>
      <c r="I20" s="12">
        <v>3458</v>
      </c>
      <c r="J20" s="13" t="s">
        <v>15</v>
      </c>
      <c r="K20" s="14">
        <v>2305</v>
      </c>
      <c r="L20" s="15">
        <f t="shared" si="2"/>
        <v>7.9706900000000003</v>
      </c>
      <c r="M20" s="16">
        <v>6.42</v>
      </c>
      <c r="N20" s="17" t="s">
        <v>15</v>
      </c>
      <c r="O20" s="18">
        <v>6.42</v>
      </c>
      <c r="P20" s="56">
        <f>E20/(M20*10^(-3))</f>
        <v>3458</v>
      </c>
      <c r="Q20" s="6" t="s">
        <v>15</v>
      </c>
      <c r="R20" s="57">
        <f>F20/(O20*10^(-3))</f>
        <v>2305</v>
      </c>
      <c r="S20" s="4">
        <f>P20-I20</f>
        <v>0</v>
      </c>
      <c r="T20" s="5">
        <f>R20-K20</f>
        <v>0</v>
      </c>
      <c r="U20" s="22"/>
      <c r="V20" s="49"/>
    </row>
    <row r="21" spans="2:26" ht="15">
      <c r="B21" s="141" t="s">
        <v>8</v>
      </c>
      <c r="C21" s="7" t="s">
        <v>102</v>
      </c>
      <c r="D21" s="8" t="s">
        <v>7</v>
      </c>
      <c r="E21" s="9">
        <f t="shared" si="7"/>
        <v>24.96096</v>
      </c>
      <c r="F21" s="9">
        <f t="shared" si="8"/>
        <v>16.640640000000001</v>
      </c>
      <c r="G21" s="10">
        <f t="shared" si="0"/>
        <v>29.999340388268539</v>
      </c>
      <c r="H21" s="11">
        <f t="shared" si="1"/>
        <v>1.4422522210684205</v>
      </c>
      <c r="I21" s="12">
        <v>3888</v>
      </c>
      <c r="J21" s="13" t="s">
        <v>15</v>
      </c>
      <c r="K21" s="14">
        <v>2592</v>
      </c>
      <c r="L21" s="15">
        <f t="shared" si="2"/>
        <v>10.077696</v>
      </c>
      <c r="M21" s="16">
        <v>6.42</v>
      </c>
      <c r="N21" s="17" t="s">
        <v>15</v>
      </c>
      <c r="O21" s="18">
        <v>6.42</v>
      </c>
      <c r="P21" s="56"/>
      <c r="Q21" s="6"/>
      <c r="R21" s="57"/>
      <c r="S21" s="4"/>
      <c r="T21" s="5"/>
      <c r="U21" s="22"/>
      <c r="V21" s="49"/>
    </row>
    <row r="22" spans="2:26" ht="15">
      <c r="B22" s="141" t="s">
        <v>8</v>
      </c>
      <c r="C22" s="7" t="s">
        <v>193</v>
      </c>
      <c r="D22" s="8" t="s">
        <v>7</v>
      </c>
      <c r="E22" s="9">
        <v>22.2</v>
      </c>
      <c r="F22" s="9">
        <v>14.8</v>
      </c>
      <c r="G22" s="10">
        <f>SQRT(E22^2+F22^2)</f>
        <v>26.681079438433521</v>
      </c>
      <c r="H22" s="11">
        <f>IF(E22=0,"",SQRT((36^2)+(24^2))/SQRT((E22^2)+(F22^2)))</f>
        <v>1.6216216216216217</v>
      </c>
      <c r="I22" s="12">
        <v>4272</v>
      </c>
      <c r="J22" s="13" t="s">
        <v>15</v>
      </c>
      <c r="K22" s="14">
        <v>2848</v>
      </c>
      <c r="L22" s="15">
        <f>IF(H22=0,"",I22*K22/10^6)</f>
        <v>12.166656</v>
      </c>
      <c r="M22" s="16">
        <v>6.42</v>
      </c>
      <c r="N22" s="17" t="s">
        <v>15</v>
      </c>
      <c r="O22" s="18">
        <v>6.42</v>
      </c>
      <c r="P22" s="56"/>
      <c r="Q22" s="6"/>
      <c r="R22" s="57"/>
      <c r="S22" s="4"/>
      <c r="T22" s="5"/>
      <c r="U22" s="22"/>
      <c r="V22" s="49"/>
    </row>
    <row r="23" spans="2:26" ht="15">
      <c r="B23" s="141" t="s">
        <v>8</v>
      </c>
      <c r="C23" s="7" t="s">
        <v>91</v>
      </c>
      <c r="D23" s="8" t="s">
        <v>7</v>
      </c>
      <c r="E23" s="9">
        <f t="shared" si="7"/>
        <v>36.054720000000003</v>
      </c>
      <c r="F23" s="9">
        <f t="shared" si="8"/>
        <v>24.036480000000001</v>
      </c>
      <c r="G23" s="9">
        <f>SQRT(E23^2+F23^2)</f>
        <v>43.332380560832334</v>
      </c>
      <c r="H23" s="19">
        <f t="shared" si="1"/>
        <v>0.99848230689352191</v>
      </c>
      <c r="I23" s="12">
        <v>5616</v>
      </c>
      <c r="J23" s="13" t="s">
        <v>15</v>
      </c>
      <c r="K23" s="14">
        <v>3744</v>
      </c>
      <c r="L23" s="15">
        <f t="shared" si="2"/>
        <v>21.026304</v>
      </c>
      <c r="M23" s="16">
        <v>6.42</v>
      </c>
      <c r="N23" s="17" t="s">
        <v>15</v>
      </c>
      <c r="O23" s="18">
        <v>6.42</v>
      </c>
      <c r="P23" s="56"/>
      <c r="Q23" s="6"/>
      <c r="R23" s="57"/>
      <c r="S23" s="4"/>
      <c r="T23" s="5"/>
      <c r="U23" s="22"/>
      <c r="V23" s="43" t="s">
        <v>92</v>
      </c>
      <c r="W23" s="42">
        <v>1920</v>
      </c>
      <c r="X23" s="13" t="s">
        <v>15</v>
      </c>
      <c r="Y23" s="14">
        <v>1080</v>
      </c>
      <c r="Z23" s="15">
        <f>IF(V23=0,"",W23*Y23/10^6)</f>
        <v>2.0735999999999999</v>
      </c>
    </row>
    <row r="24" spans="2:26" ht="15">
      <c r="B24" s="141" t="s">
        <v>8</v>
      </c>
      <c r="C24" s="7" t="s">
        <v>196</v>
      </c>
      <c r="D24" s="8" t="s">
        <v>7</v>
      </c>
      <c r="E24" s="9">
        <v>22.3</v>
      </c>
      <c r="F24" s="9">
        <v>14.9</v>
      </c>
      <c r="G24" s="9">
        <f>SQRT(E24^2+F24^2)</f>
        <v>26.819768828235638</v>
      </c>
      <c r="H24" s="19">
        <f t="shared" si="1"/>
        <v>1.6132359522807345</v>
      </c>
      <c r="I24" s="12">
        <v>5184</v>
      </c>
      <c r="J24" s="13" t="s">
        <v>15</v>
      </c>
      <c r="K24" s="14">
        <v>3456</v>
      </c>
      <c r="L24" s="15">
        <f t="shared" si="2"/>
        <v>17.915904000000001</v>
      </c>
      <c r="M24" s="16">
        <v>6.42</v>
      </c>
      <c r="N24" s="17" t="s">
        <v>15</v>
      </c>
      <c r="O24" s="18">
        <v>6.42</v>
      </c>
      <c r="P24" s="56"/>
      <c r="Q24" s="6"/>
      <c r="R24" s="57"/>
      <c r="S24" s="4"/>
      <c r="T24" s="5"/>
      <c r="U24" s="22"/>
      <c r="V24" s="43"/>
      <c r="W24" s="42"/>
      <c r="X24" s="13"/>
      <c r="Y24" s="42"/>
      <c r="Z24" s="89"/>
    </row>
    <row r="25" spans="2:26" ht="15">
      <c r="B25" s="141" t="s">
        <v>8</v>
      </c>
      <c r="C25" s="7" t="s">
        <v>110</v>
      </c>
      <c r="D25" s="8" t="s">
        <v>7</v>
      </c>
      <c r="E25" s="9">
        <f t="shared" si="7"/>
        <v>24.96096</v>
      </c>
      <c r="F25" s="9">
        <f t="shared" si="8"/>
        <v>16.640640000000001</v>
      </c>
      <c r="G25" s="10">
        <f t="shared" si="0"/>
        <v>29.999340388268539</v>
      </c>
      <c r="H25" s="11">
        <f t="shared" si="1"/>
        <v>1.4422522210684205</v>
      </c>
      <c r="I25" s="12">
        <v>3888</v>
      </c>
      <c r="J25" s="13" t="s">
        <v>15</v>
      </c>
      <c r="K25" s="14">
        <v>2592</v>
      </c>
      <c r="L25" s="15">
        <f t="shared" si="2"/>
        <v>10.077696</v>
      </c>
      <c r="M25" s="16">
        <v>6.42</v>
      </c>
      <c r="N25" s="17" t="s">
        <v>15</v>
      </c>
      <c r="O25" s="18">
        <v>6.42</v>
      </c>
      <c r="P25" s="56"/>
      <c r="Q25" s="6"/>
      <c r="R25" s="57"/>
      <c r="S25" s="4"/>
      <c r="T25" s="5"/>
      <c r="U25" s="22"/>
      <c r="V25" s="49"/>
    </row>
    <row r="26" spans="2:26" ht="15">
      <c r="B26" s="141" t="s">
        <v>8</v>
      </c>
      <c r="C26" s="7" t="s">
        <v>159</v>
      </c>
      <c r="D26" s="8" t="s">
        <v>7</v>
      </c>
      <c r="E26" s="9">
        <v>22.3</v>
      </c>
      <c r="F26" s="9">
        <v>14.9</v>
      </c>
      <c r="G26" s="10">
        <f t="shared" si="0"/>
        <v>26.819768828235638</v>
      </c>
      <c r="H26" s="11">
        <f t="shared" si="1"/>
        <v>1.6132359522807345</v>
      </c>
      <c r="I26" s="12">
        <f>E26*10^3/M26</f>
        <v>3473.5202492211838</v>
      </c>
      <c r="J26" s="13" t="s">
        <v>15</v>
      </c>
      <c r="K26" s="14">
        <f>F26*10^3/O26</f>
        <v>2320.8722741433021</v>
      </c>
      <c r="L26" s="15">
        <f t="shared" si="2"/>
        <v>8.0615968400927773</v>
      </c>
      <c r="M26" s="16">
        <v>6.42</v>
      </c>
      <c r="N26" s="17" t="s">
        <v>15</v>
      </c>
      <c r="O26" s="18">
        <v>6.42</v>
      </c>
      <c r="P26" s="56"/>
      <c r="Q26" s="6"/>
      <c r="R26" s="57"/>
      <c r="S26" s="4"/>
      <c r="T26" s="5"/>
      <c r="U26" s="22"/>
      <c r="V26" s="49"/>
    </row>
    <row r="27" spans="2:26" ht="15">
      <c r="B27" s="141" t="s">
        <v>22</v>
      </c>
      <c r="C27" s="7" t="s">
        <v>21</v>
      </c>
      <c r="D27" s="8" t="s">
        <v>6</v>
      </c>
      <c r="E27" s="9">
        <f t="shared" si="7"/>
        <v>3.5840000000000001</v>
      </c>
      <c r="F27" s="9">
        <f t="shared" si="8"/>
        <v>2.6880000000000002</v>
      </c>
      <c r="G27" s="10">
        <f t="shared" si="0"/>
        <v>4.4800000000000004</v>
      </c>
      <c r="H27" s="11">
        <f t="shared" si="1"/>
        <v>9.6577266307071135</v>
      </c>
      <c r="I27" s="12">
        <v>640</v>
      </c>
      <c r="J27" s="13" t="s">
        <v>15</v>
      </c>
      <c r="K27" s="14">
        <v>480</v>
      </c>
      <c r="L27" s="15">
        <f t="shared" si="2"/>
        <v>0.30719999999999997</v>
      </c>
      <c r="M27" s="16">
        <v>5.6</v>
      </c>
      <c r="N27" s="17" t="s">
        <v>15</v>
      </c>
      <c r="O27" s="18">
        <v>5.6</v>
      </c>
      <c r="P27" s="56">
        <f>E27/(M27*10^(-3))</f>
        <v>640</v>
      </c>
      <c r="Q27" s="6" t="s">
        <v>15</v>
      </c>
      <c r="R27" s="57">
        <f>F27/(O27*10^(-3))</f>
        <v>480.00000000000006</v>
      </c>
      <c r="S27" s="4">
        <f>P27-I27</f>
        <v>0</v>
      </c>
      <c r="T27" s="5">
        <f>R27-K27</f>
        <v>0</v>
      </c>
      <c r="U27" s="22"/>
      <c r="V27" s="49"/>
    </row>
    <row r="28" spans="2:26" ht="15">
      <c r="B28" s="142" t="s">
        <v>11</v>
      </c>
      <c r="C28" s="7" t="s">
        <v>12</v>
      </c>
      <c r="D28" s="8" t="s">
        <v>6</v>
      </c>
      <c r="E28" s="9">
        <f t="shared" si="7"/>
        <v>9.9459</v>
      </c>
      <c r="F28" s="9">
        <f t="shared" si="8"/>
        <v>7.5866400000000001</v>
      </c>
      <c r="G28" s="10">
        <f t="shared" si="0"/>
        <v>12.509118006462325</v>
      </c>
      <c r="H28" s="11">
        <f t="shared" si="1"/>
        <v>3.4588062310401058</v>
      </c>
      <c r="I28" s="12">
        <v>1290</v>
      </c>
      <c r="J28" s="13" t="s">
        <v>15</v>
      </c>
      <c r="K28" s="14">
        <v>984</v>
      </c>
      <c r="L28" s="15">
        <f t="shared" si="2"/>
        <v>1.26936</v>
      </c>
      <c r="M28" s="16">
        <v>7.71</v>
      </c>
      <c r="N28" s="17" t="s">
        <v>15</v>
      </c>
      <c r="O28" s="18">
        <f>M28</f>
        <v>7.71</v>
      </c>
      <c r="P28" s="56">
        <f>E28/(M28*10^(-3))</f>
        <v>1290</v>
      </c>
      <c r="Q28" s="6" t="s">
        <v>15</v>
      </c>
      <c r="R28" s="57">
        <f>F28/(O28*10^(-3))</f>
        <v>984</v>
      </c>
      <c r="S28" s="4">
        <f>P28-I28</f>
        <v>0</v>
      </c>
      <c r="T28" s="5">
        <f>R28-K28</f>
        <v>0</v>
      </c>
      <c r="U28" s="22"/>
      <c r="V28" s="49"/>
    </row>
    <row r="29" spans="2:26" ht="15">
      <c r="B29" s="142" t="s">
        <v>81</v>
      </c>
      <c r="C29" s="7" t="s">
        <v>82</v>
      </c>
      <c r="D29" s="8" t="s">
        <v>6</v>
      </c>
      <c r="E29" s="9">
        <f t="shared" si="7"/>
        <v>4.7360000000000007</v>
      </c>
      <c r="F29" s="9">
        <f t="shared" si="8"/>
        <v>3.552</v>
      </c>
      <c r="G29" s="10">
        <f t="shared" si="0"/>
        <v>5.9200000000000008</v>
      </c>
      <c r="H29" s="11">
        <f t="shared" si="1"/>
        <v>7.3085498826972755</v>
      </c>
      <c r="I29" s="12">
        <v>640</v>
      </c>
      <c r="J29" s="13" t="s">
        <v>15</v>
      </c>
      <c r="K29" s="14">
        <v>480</v>
      </c>
      <c r="L29" s="15">
        <f t="shared" si="2"/>
        <v>0.30719999999999997</v>
      </c>
      <c r="M29" s="16">
        <v>7.4</v>
      </c>
      <c r="N29" s="17" t="s">
        <v>15</v>
      </c>
      <c r="O29" s="18">
        <v>7.4</v>
      </c>
      <c r="P29" s="56">
        <f>E29/(M29*10^(-3))</f>
        <v>640.00000000000011</v>
      </c>
      <c r="Q29" s="6" t="s">
        <v>15</v>
      </c>
      <c r="R29" s="57">
        <f>F29/(O29*10^(-3))</f>
        <v>480</v>
      </c>
      <c r="S29" s="4">
        <f>P29-I29</f>
        <v>0</v>
      </c>
      <c r="T29" s="5">
        <f>R29-K29</f>
        <v>0</v>
      </c>
      <c r="U29" s="22" t="s">
        <v>125</v>
      </c>
      <c r="V29" s="49"/>
    </row>
    <row r="30" spans="2:26" ht="15">
      <c r="B30" s="142" t="s">
        <v>142</v>
      </c>
      <c r="C30" s="7" t="s">
        <v>88</v>
      </c>
      <c r="D30" s="8" t="s">
        <v>7</v>
      </c>
      <c r="E30" s="9">
        <f t="shared" si="7"/>
        <v>6.6560000000000006</v>
      </c>
      <c r="F30" s="9">
        <f t="shared" si="8"/>
        <v>5.3248000000000006</v>
      </c>
      <c r="G30" s="10">
        <f t="shared" si="0"/>
        <v>8.5238389848706095</v>
      </c>
      <c r="H30" s="11">
        <f t="shared" si="1"/>
        <v>5.0759540838774599</v>
      </c>
      <c r="I30" s="12">
        <v>1280</v>
      </c>
      <c r="J30" s="13" t="s">
        <v>15</v>
      </c>
      <c r="K30" s="14">
        <v>1024</v>
      </c>
      <c r="L30" s="15">
        <f t="shared" si="2"/>
        <v>1.3107200000000001</v>
      </c>
      <c r="M30" s="16">
        <v>5.2</v>
      </c>
      <c r="N30" s="17" t="s">
        <v>15</v>
      </c>
      <c r="O30" s="18">
        <v>5.2</v>
      </c>
      <c r="P30" s="56">
        <f>E30/(M30*10^(-3))</f>
        <v>1280</v>
      </c>
      <c r="Q30" s="6"/>
      <c r="R30" s="57">
        <f>F30/(O30*10^(-3))</f>
        <v>1024</v>
      </c>
      <c r="S30" s="4">
        <f>P30-I30</f>
        <v>0</v>
      </c>
      <c r="T30" s="5">
        <f>R30-K30</f>
        <v>0</v>
      </c>
      <c r="U30" s="22" t="s">
        <v>90</v>
      </c>
      <c r="V30" s="49"/>
    </row>
    <row r="31" spans="2:26" ht="15">
      <c r="B31" s="142" t="s">
        <v>142</v>
      </c>
      <c r="C31" s="7" t="s">
        <v>143</v>
      </c>
      <c r="D31" s="8" t="s">
        <v>7</v>
      </c>
      <c r="E31" s="9">
        <f>M31*10^(-3)*I31</f>
        <v>4.8</v>
      </c>
      <c r="F31" s="9">
        <f>O31*10^(-3)*K31</f>
        <v>3.5999999999999996</v>
      </c>
      <c r="G31" s="10">
        <f>SQRT(E31^2+F31^2)</f>
        <v>6</v>
      </c>
      <c r="H31" s="11">
        <f>IF(E31=0,"",SQRT((36^2)+(24^2))/SQRT((E31^2)+(F31^2)))</f>
        <v>7.2111025509279791</v>
      </c>
      <c r="I31" s="12">
        <v>1280</v>
      </c>
      <c r="J31" s="13" t="s">
        <v>15</v>
      </c>
      <c r="K31" s="14">
        <v>960</v>
      </c>
      <c r="L31" s="15">
        <f>IF(H31=0,"",I31*K31/10^6)</f>
        <v>1.2287999999999999</v>
      </c>
      <c r="M31" s="16">
        <v>3.75</v>
      </c>
      <c r="N31" s="17" t="s">
        <v>15</v>
      </c>
      <c r="O31" s="18">
        <v>3.75</v>
      </c>
      <c r="P31" s="56"/>
      <c r="Q31" s="6"/>
      <c r="R31" s="57"/>
      <c r="S31" s="4"/>
      <c r="T31" s="5"/>
      <c r="U31" s="22" t="s">
        <v>144</v>
      </c>
      <c r="V31" s="49"/>
    </row>
    <row r="32" spans="2:26" ht="15">
      <c r="B32" s="142" t="s">
        <v>142</v>
      </c>
      <c r="C32" s="7" t="s">
        <v>169</v>
      </c>
      <c r="D32" s="8" t="s">
        <v>7</v>
      </c>
      <c r="E32" s="9">
        <f>M32*10^(-3)*I32</f>
        <v>5.7023999999999999</v>
      </c>
      <c r="F32" s="9">
        <f>O32*10^(-3)*K32</f>
        <v>4.2768000000000006</v>
      </c>
      <c r="G32" s="10">
        <f>SQRT(E32^2+F32^2)</f>
        <v>7.1280000000000001</v>
      </c>
      <c r="H32" s="11">
        <f>IF(E32=0,"",SQRT((36^2)+(24^2))/SQRT((E32^2)+(F32^2)))</f>
        <v>6.0699516421952682</v>
      </c>
      <c r="I32" s="12">
        <v>2592</v>
      </c>
      <c r="J32" s="13" t="s">
        <v>15</v>
      </c>
      <c r="K32" s="14">
        <v>1944</v>
      </c>
      <c r="L32" s="15">
        <f>IF(H32=0,"",I32*K32/10^6)</f>
        <v>5.0388479999999998</v>
      </c>
      <c r="M32" s="16">
        <v>2.2000000000000002</v>
      </c>
      <c r="N32" s="17" t="s">
        <v>15</v>
      </c>
      <c r="O32" s="18">
        <v>2.2000000000000002</v>
      </c>
      <c r="P32" s="56"/>
      <c r="Q32" s="6"/>
      <c r="R32" s="57"/>
      <c r="S32" s="4"/>
      <c r="T32" s="5"/>
      <c r="U32" s="50" t="s">
        <v>170</v>
      </c>
      <c r="V32" s="49"/>
    </row>
    <row r="33" spans="2:22" ht="15.75">
      <c r="B33" s="142" t="s">
        <v>142</v>
      </c>
      <c r="C33" s="144" t="s">
        <v>216</v>
      </c>
      <c r="D33" s="8" t="s">
        <v>7</v>
      </c>
      <c r="E33" s="9">
        <f>M33*10^(-3)*I33</f>
        <v>5.5679999999999996</v>
      </c>
      <c r="F33" s="9">
        <f>O33*10^(-3)*K33</f>
        <v>3.1319999999999997</v>
      </c>
      <c r="G33" s="10">
        <f>SQRT(E33^2+F33^2)</f>
        <v>6.3884307932386646</v>
      </c>
      <c r="H33" s="11">
        <f>IF(E33=0,"",SQRT((36^2)+(24^2))/SQRT((E33^2)+(F33^2)))</f>
        <v>6.7726514860832561</v>
      </c>
      <c r="I33" s="12">
        <v>1920</v>
      </c>
      <c r="J33" s="13" t="s">
        <v>15</v>
      </c>
      <c r="K33" s="14">
        <v>1080</v>
      </c>
      <c r="L33" s="15">
        <f>IF(H33=0,"",I33*K33/10^6)</f>
        <v>2.0735999999999999</v>
      </c>
      <c r="M33" s="16">
        <v>2.9</v>
      </c>
      <c r="N33" s="17" t="s">
        <v>15</v>
      </c>
      <c r="O33" s="18">
        <v>2.9</v>
      </c>
      <c r="P33" s="56"/>
      <c r="Q33" s="6"/>
      <c r="R33" s="57"/>
      <c r="S33" s="4"/>
      <c r="T33" s="5"/>
      <c r="U33" s="50" t="s">
        <v>217</v>
      </c>
      <c r="V33" s="49"/>
    </row>
    <row r="34" spans="2:22" ht="15.75">
      <c r="B34" s="142" t="s">
        <v>142</v>
      </c>
      <c r="C34" s="145" t="s">
        <v>222</v>
      </c>
      <c r="D34" s="8" t="s">
        <v>7</v>
      </c>
      <c r="E34" s="9">
        <f>M34*10^(-3)*I34</f>
        <v>11.182399999999999</v>
      </c>
      <c r="F34" s="9">
        <f>O34*10^(-3)*K34</f>
        <v>6.3219999999999992</v>
      </c>
      <c r="G34" s="10">
        <f>SQRT(E34^2+F34^2)</f>
        <v>12.845767931891032</v>
      </c>
      <c r="H34" s="11">
        <f>IF(E34=0,"",SQRT((36^2)+(24^2))/SQRT((E34^2)+(F34^2)))</f>
        <v>3.3681610577872689</v>
      </c>
      <c r="I34" s="12">
        <v>3856</v>
      </c>
      <c r="J34" s="13" t="s">
        <v>15</v>
      </c>
      <c r="K34" s="14">
        <v>2180</v>
      </c>
      <c r="L34" s="15">
        <f>IF(H34=0,"",I34*K34/10^6)</f>
        <v>8.4060799999999993</v>
      </c>
      <c r="M34" s="16">
        <v>2.9</v>
      </c>
      <c r="N34" s="17" t="s">
        <v>15</v>
      </c>
      <c r="O34" s="18">
        <v>2.9</v>
      </c>
      <c r="P34" s="56"/>
      <c r="Q34" s="6"/>
      <c r="R34" s="57"/>
      <c r="S34" s="4"/>
      <c r="T34" s="5"/>
      <c r="U34" s="50" t="s">
        <v>221</v>
      </c>
      <c r="V34" s="49"/>
    </row>
    <row r="35" spans="2:22" ht="15">
      <c r="B35" s="142" t="s">
        <v>142</v>
      </c>
      <c r="C35" s="7" t="s">
        <v>94</v>
      </c>
      <c r="D35" s="8" t="s">
        <v>6</v>
      </c>
      <c r="E35" s="9">
        <f t="shared" si="7"/>
        <v>24.257999999999999</v>
      </c>
      <c r="F35" s="9">
        <f t="shared" si="8"/>
        <v>15.834</v>
      </c>
      <c r="G35" s="10">
        <f t="shared" si="0"/>
        <v>28.968364123643571</v>
      </c>
      <c r="H35" s="11">
        <f t="shared" si="1"/>
        <v>1.4935815885528128</v>
      </c>
      <c r="I35" s="12">
        <v>3110</v>
      </c>
      <c r="J35" s="13" t="s">
        <v>15</v>
      </c>
      <c r="K35" s="14">
        <v>2030</v>
      </c>
      <c r="L35" s="15">
        <f t="shared" si="2"/>
        <v>6.3132999999999999</v>
      </c>
      <c r="M35" s="16">
        <v>7.8</v>
      </c>
      <c r="N35" s="17" t="s">
        <v>15</v>
      </c>
      <c r="O35" s="18">
        <v>7.8</v>
      </c>
      <c r="P35" s="56"/>
      <c r="Q35" s="6"/>
      <c r="R35" s="57"/>
      <c r="S35" s="4"/>
      <c r="T35" s="5"/>
      <c r="U35" s="22" t="s">
        <v>132</v>
      </c>
      <c r="V35" s="49"/>
    </row>
    <row r="36" spans="2:22" ht="15">
      <c r="B36" s="142" t="s">
        <v>142</v>
      </c>
      <c r="C36" s="7" t="s">
        <v>93</v>
      </c>
      <c r="D36" s="8" t="s">
        <v>6</v>
      </c>
      <c r="E36" s="9">
        <f t="shared" si="7"/>
        <v>17.9604</v>
      </c>
      <c r="F36" s="9">
        <f t="shared" si="8"/>
        <v>13.521600000000001</v>
      </c>
      <c r="G36" s="10">
        <f t="shared" si="0"/>
        <v>22.481317459615219</v>
      </c>
      <c r="H36" s="11">
        <f t="shared" si="1"/>
        <v>1.9245587089498093</v>
      </c>
      <c r="I36" s="12">
        <v>3326</v>
      </c>
      <c r="J36" s="13" t="s">
        <v>15</v>
      </c>
      <c r="K36" s="14">
        <v>2504</v>
      </c>
      <c r="L36" s="15">
        <f t="shared" si="2"/>
        <v>8.3283039999999993</v>
      </c>
      <c r="M36" s="16">
        <v>5.4</v>
      </c>
      <c r="N36" s="17" t="s">
        <v>15</v>
      </c>
      <c r="O36" s="18">
        <v>5.4</v>
      </c>
      <c r="P36" s="56"/>
      <c r="Q36" s="6"/>
      <c r="R36" s="57"/>
      <c r="S36" s="4"/>
      <c r="T36" s="5"/>
      <c r="U36" s="23" t="s">
        <v>124</v>
      </c>
      <c r="V36" s="49"/>
    </row>
    <row r="37" spans="2:22" ht="15">
      <c r="B37" s="142" t="s">
        <v>142</v>
      </c>
      <c r="C37" s="7" t="s">
        <v>108</v>
      </c>
      <c r="D37" s="8" t="s">
        <v>6</v>
      </c>
      <c r="E37" s="9">
        <f t="shared" si="7"/>
        <v>23.603200000000001</v>
      </c>
      <c r="F37" s="9">
        <f t="shared" si="8"/>
        <v>15.769600000000001</v>
      </c>
      <c r="G37" s="10">
        <f t="shared" si="0"/>
        <v>28.386463929133548</v>
      </c>
      <c r="H37" s="11">
        <f t="shared" si="1"/>
        <v>1.5241988369380011</v>
      </c>
      <c r="I37" s="12">
        <v>4610</v>
      </c>
      <c r="J37" s="13" t="s">
        <v>15</v>
      </c>
      <c r="K37" s="14">
        <v>3080</v>
      </c>
      <c r="L37" s="15">
        <f t="shared" si="2"/>
        <v>14.1988</v>
      </c>
      <c r="M37" s="16">
        <v>5.12</v>
      </c>
      <c r="N37" s="17" t="s">
        <v>15</v>
      </c>
      <c r="O37" s="18">
        <v>5.12</v>
      </c>
      <c r="P37" s="56"/>
      <c r="Q37" s="6"/>
      <c r="R37" s="57"/>
      <c r="S37" s="4"/>
      <c r="T37" s="5"/>
      <c r="U37" s="23"/>
      <c r="V37" s="49"/>
    </row>
    <row r="38" spans="2:22" ht="15">
      <c r="B38" s="141" t="s">
        <v>29</v>
      </c>
      <c r="C38" s="7" t="s">
        <v>49</v>
      </c>
      <c r="D38" s="8" t="s">
        <v>7</v>
      </c>
      <c r="E38" s="9">
        <f t="shared" si="7"/>
        <v>5.1840000000000002</v>
      </c>
      <c r="F38" s="9">
        <f t="shared" si="8"/>
        <v>3.9039999999999999</v>
      </c>
      <c r="G38" s="10">
        <f t="shared" si="0"/>
        <v>6.4896126232618849</v>
      </c>
      <c r="H38" s="11">
        <f t="shared" si="1"/>
        <v>6.6670566977263892</v>
      </c>
      <c r="I38" s="12">
        <v>648</v>
      </c>
      <c r="J38" s="13" t="s">
        <v>15</v>
      </c>
      <c r="K38" s="14">
        <v>488</v>
      </c>
      <c r="L38" s="15">
        <f t="shared" si="2"/>
        <v>0.31622400000000001</v>
      </c>
      <c r="M38" s="16">
        <v>8</v>
      </c>
      <c r="N38" s="17" t="s">
        <v>15</v>
      </c>
      <c r="O38" s="18">
        <v>8</v>
      </c>
      <c r="P38" s="56">
        <f t="shared" ref="P38:P60" si="9">E38/(M38*10^(-3))</f>
        <v>648</v>
      </c>
      <c r="Q38" s="6" t="s">
        <v>15</v>
      </c>
      <c r="R38" s="57">
        <f t="shared" ref="R38:R60" si="10">F38/(O38*10^(-3))</f>
        <v>488</v>
      </c>
      <c r="S38" s="4">
        <f t="shared" ref="S38:S60" si="11">P38-I38</f>
        <v>0</v>
      </c>
      <c r="T38" s="5">
        <f t="shared" ref="T38:T60" si="12">R38-K38</f>
        <v>0</v>
      </c>
      <c r="U38" s="22"/>
      <c r="V38" s="49"/>
    </row>
    <row r="39" spans="2:22" ht="15">
      <c r="B39" s="141" t="s">
        <v>29</v>
      </c>
      <c r="C39" s="7" t="s">
        <v>30</v>
      </c>
      <c r="D39" s="8" t="s">
        <v>6</v>
      </c>
      <c r="E39" s="9">
        <f t="shared" si="7"/>
        <v>6.8966399999999997</v>
      </c>
      <c r="F39" s="9">
        <f t="shared" si="8"/>
        <v>5.1185999999999998</v>
      </c>
      <c r="G39" s="10">
        <f t="shared" si="0"/>
        <v>8.5885801649399536</v>
      </c>
      <c r="H39" s="11">
        <f t="shared" si="1"/>
        <v>5.0376912684810886</v>
      </c>
      <c r="I39" s="12">
        <v>768</v>
      </c>
      <c r="J39" s="13" t="s">
        <v>15</v>
      </c>
      <c r="K39" s="14">
        <v>570</v>
      </c>
      <c r="L39" s="15">
        <f t="shared" si="2"/>
        <v>0.43775999999999998</v>
      </c>
      <c r="M39" s="16">
        <v>8.98</v>
      </c>
      <c r="N39" s="17" t="s">
        <v>15</v>
      </c>
      <c r="O39" s="18">
        <f>M39</f>
        <v>8.98</v>
      </c>
      <c r="P39" s="56">
        <f t="shared" si="9"/>
        <v>768</v>
      </c>
      <c r="Q39" s="6" t="s">
        <v>15</v>
      </c>
      <c r="R39" s="57">
        <f t="shared" si="10"/>
        <v>570</v>
      </c>
      <c r="S39" s="4">
        <f t="shared" si="11"/>
        <v>0</v>
      </c>
      <c r="T39" s="5">
        <f t="shared" si="12"/>
        <v>0</v>
      </c>
      <c r="U39" s="22"/>
      <c r="V39" s="49"/>
    </row>
    <row r="40" spans="2:22" ht="15">
      <c r="B40" s="141" t="s">
        <v>29</v>
      </c>
      <c r="C40" s="7" t="s">
        <v>59</v>
      </c>
      <c r="D40" s="8" t="s">
        <v>6</v>
      </c>
      <c r="E40" s="9">
        <f t="shared" si="7"/>
        <v>6.4672000000000001</v>
      </c>
      <c r="F40" s="9">
        <f t="shared" si="8"/>
        <v>5.0052000000000003</v>
      </c>
      <c r="G40" s="10">
        <f t="shared" si="0"/>
        <v>8.1778177333564965</v>
      </c>
      <c r="H40" s="11">
        <f t="shared" si="1"/>
        <v>5.2907287391705617</v>
      </c>
      <c r="I40" s="12">
        <v>752</v>
      </c>
      <c r="J40" s="13" t="s">
        <v>15</v>
      </c>
      <c r="K40" s="14">
        <v>582</v>
      </c>
      <c r="L40" s="15">
        <f t="shared" si="2"/>
        <v>0.437664</v>
      </c>
      <c r="M40" s="16">
        <v>8.6</v>
      </c>
      <c r="N40" s="17" t="s">
        <v>15</v>
      </c>
      <c r="O40" s="18">
        <v>8.6</v>
      </c>
      <c r="P40" s="56">
        <f t="shared" si="9"/>
        <v>752</v>
      </c>
      <c r="Q40" s="6" t="s">
        <v>15</v>
      </c>
      <c r="R40" s="57">
        <f t="shared" si="10"/>
        <v>582</v>
      </c>
      <c r="S40" s="4">
        <f t="shared" si="11"/>
        <v>0</v>
      </c>
      <c r="T40" s="5">
        <f t="shared" si="12"/>
        <v>0</v>
      </c>
      <c r="U40" s="22" t="s">
        <v>113</v>
      </c>
      <c r="V40" s="49"/>
    </row>
    <row r="41" spans="2:22" ht="15">
      <c r="B41" s="141" t="s">
        <v>9</v>
      </c>
      <c r="C41" s="7" t="s">
        <v>10</v>
      </c>
      <c r="D41" s="8" t="s">
        <v>6</v>
      </c>
      <c r="E41" s="9">
        <f t="shared" si="7"/>
        <v>7.2290400000000012</v>
      </c>
      <c r="F41" s="9">
        <f t="shared" si="8"/>
        <v>5.3695200000000005</v>
      </c>
      <c r="G41" s="10">
        <f t="shared" si="0"/>
        <v>9.0050410522107018</v>
      </c>
      <c r="H41" s="11">
        <f t="shared" si="1"/>
        <v>4.8047105010083317</v>
      </c>
      <c r="I41" s="12">
        <v>2317</v>
      </c>
      <c r="J41" s="13" t="s">
        <v>15</v>
      </c>
      <c r="K41" s="14">
        <v>1721</v>
      </c>
      <c r="L41" s="15">
        <f t="shared" si="2"/>
        <v>3.9875569999999998</v>
      </c>
      <c r="M41" s="16">
        <v>3.12</v>
      </c>
      <c r="N41" s="17" t="s">
        <v>15</v>
      </c>
      <c r="O41" s="18">
        <v>3.12</v>
      </c>
      <c r="P41" s="56">
        <f t="shared" si="9"/>
        <v>2317</v>
      </c>
      <c r="Q41" s="6" t="s">
        <v>15</v>
      </c>
      <c r="R41" s="57">
        <f t="shared" si="10"/>
        <v>1721</v>
      </c>
      <c r="S41" s="4">
        <f t="shared" si="11"/>
        <v>0</v>
      </c>
      <c r="T41" s="5">
        <f t="shared" si="12"/>
        <v>0</v>
      </c>
      <c r="U41" s="22"/>
      <c r="V41" s="49"/>
    </row>
    <row r="42" spans="2:22" ht="15">
      <c r="B42" s="141" t="s">
        <v>9</v>
      </c>
      <c r="C42" s="7" t="s">
        <v>50</v>
      </c>
      <c r="D42" s="8" t="s">
        <v>6</v>
      </c>
      <c r="E42" s="9">
        <f t="shared" si="7"/>
        <v>23.49248</v>
      </c>
      <c r="F42" s="9">
        <f t="shared" si="8"/>
        <v>15.59657</v>
      </c>
      <c r="G42" s="10">
        <f t="shared" si="0"/>
        <v>28.198397335935603</v>
      </c>
      <c r="H42" s="11">
        <f t="shared" si="1"/>
        <v>1.5343643395800217</v>
      </c>
      <c r="I42" s="12">
        <v>3008</v>
      </c>
      <c r="J42" s="13" t="s">
        <v>15</v>
      </c>
      <c r="K42" s="14">
        <v>1997</v>
      </c>
      <c r="L42" s="15">
        <f t="shared" si="2"/>
        <v>6.0069759999999999</v>
      </c>
      <c r="M42" s="16">
        <v>7.81</v>
      </c>
      <c r="N42" s="17" t="s">
        <v>15</v>
      </c>
      <c r="O42" s="18">
        <f>M42</f>
        <v>7.81</v>
      </c>
      <c r="P42" s="56">
        <f t="shared" si="9"/>
        <v>3008</v>
      </c>
      <c r="Q42" s="6" t="s">
        <v>15</v>
      </c>
      <c r="R42" s="57">
        <f t="shared" si="10"/>
        <v>1997</v>
      </c>
      <c r="S42" s="4">
        <f t="shared" si="11"/>
        <v>0</v>
      </c>
      <c r="T42" s="5">
        <f t="shared" si="12"/>
        <v>0</v>
      </c>
      <c r="U42" s="22"/>
      <c r="V42" s="49"/>
    </row>
    <row r="43" spans="2:22" ht="15">
      <c r="B43" s="141" t="s">
        <v>9</v>
      </c>
      <c r="C43" s="7" t="s">
        <v>192</v>
      </c>
      <c r="D43" s="8" t="s">
        <v>7</v>
      </c>
      <c r="E43" s="9">
        <f>M43*10^(-3)*I43</f>
        <v>35.897472</v>
      </c>
      <c r="F43" s="9">
        <f>O43*10^(-3)*K43</f>
        <v>23.963471999999999</v>
      </c>
      <c r="G43" s="10">
        <f>SQRT(E43^2+F43^2)</f>
        <v>43.161052886665871</v>
      </c>
      <c r="H43" s="11">
        <f>IF(E43=0,"",SQRT((36^2)+(24^2))/SQRT((E43^2)+(F43^2)))</f>
        <v>1.0024457795128212</v>
      </c>
      <c r="I43" s="12">
        <v>6016</v>
      </c>
      <c r="J43" s="13" t="s">
        <v>15</v>
      </c>
      <c r="K43" s="14">
        <v>4016</v>
      </c>
      <c r="L43" s="15">
        <f>IF(H43=0,"",I43*K43/10^6)</f>
        <v>24.160256</v>
      </c>
      <c r="M43" s="16">
        <v>5.9669999999999996</v>
      </c>
      <c r="N43" s="17" t="s">
        <v>15</v>
      </c>
      <c r="O43" s="18">
        <f>M43</f>
        <v>5.9669999999999996</v>
      </c>
      <c r="P43" s="56"/>
      <c r="Q43" s="6"/>
      <c r="R43" s="57"/>
      <c r="S43" s="4"/>
      <c r="T43" s="5"/>
      <c r="U43" s="22"/>
      <c r="V43" s="49"/>
    </row>
    <row r="44" spans="2:22" ht="15">
      <c r="B44" s="141" t="s">
        <v>25</v>
      </c>
      <c r="C44" s="7" t="s">
        <v>58</v>
      </c>
      <c r="D44" s="8" t="s">
        <v>84</v>
      </c>
      <c r="E44" s="9">
        <f t="shared" si="7"/>
        <v>17.9604</v>
      </c>
      <c r="F44" s="9">
        <f t="shared" si="8"/>
        <v>13.521600000000001</v>
      </c>
      <c r="G44" s="10">
        <f t="shared" si="0"/>
        <v>22.481317459615219</v>
      </c>
      <c r="H44" s="11">
        <f t="shared" si="1"/>
        <v>1.9245587089498093</v>
      </c>
      <c r="I44" s="12">
        <v>3326</v>
      </c>
      <c r="J44" s="13" t="s">
        <v>15</v>
      </c>
      <c r="K44" s="14">
        <v>2504</v>
      </c>
      <c r="L44" s="15">
        <f t="shared" si="2"/>
        <v>8.3283039999999993</v>
      </c>
      <c r="M44" s="16">
        <v>5.4</v>
      </c>
      <c r="N44" s="17" t="s">
        <v>15</v>
      </c>
      <c r="O44" s="18">
        <v>5.4</v>
      </c>
      <c r="P44" s="56">
        <f t="shared" si="9"/>
        <v>3326</v>
      </c>
      <c r="Q44" s="6" t="s">
        <v>15</v>
      </c>
      <c r="R44" s="57">
        <f t="shared" si="10"/>
        <v>2504</v>
      </c>
      <c r="S44" s="4">
        <f t="shared" si="11"/>
        <v>0</v>
      </c>
      <c r="T44" s="5">
        <f t="shared" si="12"/>
        <v>0</v>
      </c>
      <c r="U44" s="39" t="s">
        <v>124</v>
      </c>
      <c r="V44" s="49"/>
    </row>
    <row r="45" spans="2:22" ht="15">
      <c r="B45" s="141" t="s">
        <v>70</v>
      </c>
      <c r="C45" s="7" t="s">
        <v>71</v>
      </c>
      <c r="D45" s="8" t="s">
        <v>6</v>
      </c>
      <c r="E45" s="9">
        <f t="shared" si="7"/>
        <v>23.6496</v>
      </c>
      <c r="F45" s="9">
        <f t="shared" si="8"/>
        <v>15.7014</v>
      </c>
      <c r="G45" s="10">
        <f t="shared" si="0"/>
        <v>28.387277821587613</v>
      </c>
      <c r="H45" s="11">
        <f t="shared" si="1"/>
        <v>1.5241551365895678</v>
      </c>
      <c r="I45" s="12">
        <v>3032</v>
      </c>
      <c r="J45" s="13" t="s">
        <v>15</v>
      </c>
      <c r="K45" s="14">
        <v>2013</v>
      </c>
      <c r="L45" s="15">
        <f t="shared" si="2"/>
        <v>6.1034160000000002</v>
      </c>
      <c r="M45" s="16">
        <v>7.8</v>
      </c>
      <c r="N45" s="17" t="s">
        <v>15</v>
      </c>
      <c r="O45" s="18">
        <v>7.8</v>
      </c>
      <c r="P45" s="56">
        <f t="shared" si="9"/>
        <v>3032</v>
      </c>
      <c r="Q45" s="6" t="s">
        <v>15</v>
      </c>
      <c r="R45" s="57">
        <f t="shared" si="10"/>
        <v>2013</v>
      </c>
      <c r="S45" s="4">
        <f t="shared" si="11"/>
        <v>0</v>
      </c>
      <c r="T45" s="5">
        <f t="shared" si="12"/>
        <v>0</v>
      </c>
      <c r="U45" s="22"/>
      <c r="V45" s="49"/>
    </row>
    <row r="46" spans="2:22" ht="15">
      <c r="B46" s="141" t="s">
        <v>33</v>
      </c>
      <c r="C46" s="7" t="s">
        <v>34</v>
      </c>
      <c r="D46" s="8" t="s">
        <v>6</v>
      </c>
      <c r="E46" s="9">
        <f t="shared" si="7"/>
        <v>7.2290400000000012</v>
      </c>
      <c r="F46" s="9">
        <f t="shared" si="8"/>
        <v>5.3695200000000005</v>
      </c>
      <c r="G46" s="10">
        <f t="shared" si="0"/>
        <v>9.0050410522107018</v>
      </c>
      <c r="H46" s="11">
        <f t="shared" si="1"/>
        <v>4.8047105010083317</v>
      </c>
      <c r="I46" s="12">
        <v>2317</v>
      </c>
      <c r="J46" s="13" t="s">
        <v>15</v>
      </c>
      <c r="K46" s="14">
        <v>1721</v>
      </c>
      <c r="L46" s="15">
        <f t="shared" si="2"/>
        <v>3.9875569999999998</v>
      </c>
      <c r="M46" s="16">
        <v>3.12</v>
      </c>
      <c r="N46" s="17" t="s">
        <v>15</v>
      </c>
      <c r="O46" s="18">
        <v>3.12</v>
      </c>
      <c r="P46" s="56">
        <f t="shared" si="9"/>
        <v>2317</v>
      </c>
      <c r="Q46" s="6" t="s">
        <v>15</v>
      </c>
      <c r="R46" s="57">
        <f t="shared" si="10"/>
        <v>1721</v>
      </c>
      <c r="S46" s="4">
        <f t="shared" si="11"/>
        <v>0</v>
      </c>
      <c r="T46" s="5">
        <f t="shared" si="12"/>
        <v>0</v>
      </c>
      <c r="U46" s="22"/>
      <c r="V46" s="49"/>
    </row>
    <row r="47" spans="2:22" ht="15">
      <c r="B47" s="141" t="s">
        <v>23</v>
      </c>
      <c r="C47" s="7" t="s">
        <v>24</v>
      </c>
      <c r="D47" s="8" t="s">
        <v>6</v>
      </c>
      <c r="E47" s="9">
        <f t="shared" si="7"/>
        <v>23.49248</v>
      </c>
      <c r="F47" s="9">
        <f t="shared" si="8"/>
        <v>15.6981</v>
      </c>
      <c r="G47" s="10">
        <f t="shared" si="0"/>
        <v>28.254680323096917</v>
      </c>
      <c r="H47" s="11">
        <f t="shared" si="1"/>
        <v>1.531307904064283</v>
      </c>
      <c r="I47" s="12">
        <v>3008</v>
      </c>
      <c r="J47" s="13" t="s">
        <v>15</v>
      </c>
      <c r="K47" s="14">
        <v>2010</v>
      </c>
      <c r="L47" s="15">
        <f t="shared" si="2"/>
        <v>6.0460799999999999</v>
      </c>
      <c r="M47" s="16">
        <v>7.81</v>
      </c>
      <c r="N47" s="17" t="s">
        <v>15</v>
      </c>
      <c r="O47" s="18">
        <f>M47</f>
        <v>7.81</v>
      </c>
      <c r="P47" s="56">
        <f t="shared" si="9"/>
        <v>3008</v>
      </c>
      <c r="Q47" s="6" t="s">
        <v>15</v>
      </c>
      <c r="R47" s="57">
        <f t="shared" si="10"/>
        <v>2010</v>
      </c>
      <c r="S47" s="4">
        <f t="shared" si="11"/>
        <v>0</v>
      </c>
      <c r="T47" s="5">
        <f t="shared" si="12"/>
        <v>0</v>
      </c>
      <c r="U47" s="22"/>
      <c r="V47" s="49"/>
    </row>
    <row r="48" spans="2:22" ht="15">
      <c r="B48" s="141" t="s">
        <v>5</v>
      </c>
      <c r="C48" s="20" t="s">
        <v>16</v>
      </c>
      <c r="D48" s="8" t="s">
        <v>6</v>
      </c>
      <c r="E48" s="9">
        <f t="shared" si="7"/>
        <v>3.5840000000000001</v>
      </c>
      <c r="F48" s="9">
        <f t="shared" si="8"/>
        <v>2.6880000000000002</v>
      </c>
      <c r="G48" s="10">
        <f t="shared" si="0"/>
        <v>4.4800000000000004</v>
      </c>
      <c r="H48" s="11">
        <f t="shared" si="1"/>
        <v>9.6577266307071135</v>
      </c>
      <c r="I48" s="12">
        <v>640</v>
      </c>
      <c r="J48" s="13" t="s">
        <v>15</v>
      </c>
      <c r="K48" s="14">
        <v>480</v>
      </c>
      <c r="L48" s="15">
        <f t="shared" si="2"/>
        <v>0.30719999999999997</v>
      </c>
      <c r="M48" s="16">
        <v>5.6</v>
      </c>
      <c r="N48" s="17" t="s">
        <v>15</v>
      </c>
      <c r="O48" s="18">
        <v>5.6</v>
      </c>
      <c r="P48" s="56">
        <f t="shared" si="9"/>
        <v>640</v>
      </c>
      <c r="Q48" s="6" t="s">
        <v>15</v>
      </c>
      <c r="R48" s="57">
        <f t="shared" si="10"/>
        <v>480.00000000000006</v>
      </c>
      <c r="S48" s="4">
        <f t="shared" si="11"/>
        <v>0</v>
      </c>
      <c r="T48" s="5">
        <f t="shared" si="12"/>
        <v>0</v>
      </c>
      <c r="U48" s="22" t="s">
        <v>122</v>
      </c>
      <c r="V48" s="49"/>
    </row>
    <row r="49" spans="2:22" ht="15">
      <c r="B49" s="142" t="s">
        <v>18</v>
      </c>
      <c r="C49" s="7" t="s">
        <v>14</v>
      </c>
      <c r="D49" s="8" t="s">
        <v>6</v>
      </c>
      <c r="E49" s="9">
        <f t="shared" si="7"/>
        <v>9.9459</v>
      </c>
      <c r="F49" s="9">
        <f t="shared" si="8"/>
        <v>7.5866400000000001</v>
      </c>
      <c r="G49" s="10">
        <f t="shared" si="0"/>
        <v>12.509118006462325</v>
      </c>
      <c r="H49" s="11">
        <f t="shared" si="1"/>
        <v>3.4588062310401058</v>
      </c>
      <c r="I49" s="12">
        <v>1290</v>
      </c>
      <c r="J49" s="13" t="s">
        <v>15</v>
      </c>
      <c r="K49" s="14">
        <v>984</v>
      </c>
      <c r="L49" s="15">
        <f t="shared" si="2"/>
        <v>1.26936</v>
      </c>
      <c r="M49" s="16">
        <v>7.71</v>
      </c>
      <c r="N49" s="17" t="s">
        <v>15</v>
      </c>
      <c r="O49" s="18">
        <f>M49</f>
        <v>7.71</v>
      </c>
      <c r="P49" s="56">
        <f t="shared" si="9"/>
        <v>1290</v>
      </c>
      <c r="Q49" s="6" t="s">
        <v>15</v>
      </c>
      <c r="R49" s="57">
        <f t="shared" si="10"/>
        <v>984</v>
      </c>
      <c r="S49" s="4">
        <f t="shared" si="11"/>
        <v>0</v>
      </c>
      <c r="T49" s="5">
        <f t="shared" si="12"/>
        <v>0</v>
      </c>
      <c r="U49" s="22"/>
      <c r="V49" s="49"/>
    </row>
    <row r="50" spans="2:22" ht="15">
      <c r="B50" s="141" t="s">
        <v>28</v>
      </c>
      <c r="C50" s="51" t="s">
        <v>138</v>
      </c>
      <c r="D50" s="8" t="s">
        <v>6</v>
      </c>
      <c r="E50" s="9">
        <f t="shared" si="7"/>
        <v>11.84</v>
      </c>
      <c r="F50" s="9">
        <f t="shared" si="8"/>
        <v>8.8800000000000008</v>
      </c>
      <c r="G50" s="10">
        <f t="shared" si="0"/>
        <v>14.8</v>
      </c>
      <c r="H50" s="11">
        <f t="shared" si="1"/>
        <v>2.9234199530789104</v>
      </c>
      <c r="I50" s="12">
        <v>1600</v>
      </c>
      <c r="J50" s="13" t="s">
        <v>15</v>
      </c>
      <c r="K50" s="14">
        <v>1200</v>
      </c>
      <c r="L50" s="15">
        <f t="shared" si="2"/>
        <v>1.92</v>
      </c>
      <c r="M50" s="16">
        <v>7.4</v>
      </c>
      <c r="N50" s="17" t="s">
        <v>15</v>
      </c>
      <c r="O50" s="18">
        <v>7.4</v>
      </c>
      <c r="P50" s="56">
        <f t="shared" si="9"/>
        <v>1600</v>
      </c>
      <c r="Q50" s="6" t="s">
        <v>15</v>
      </c>
      <c r="R50" s="57">
        <f t="shared" si="10"/>
        <v>1200</v>
      </c>
      <c r="S50" s="4">
        <f t="shared" si="11"/>
        <v>0</v>
      </c>
      <c r="T50" s="5">
        <f t="shared" si="12"/>
        <v>0</v>
      </c>
      <c r="U50" s="22" t="s">
        <v>126</v>
      </c>
      <c r="V50" s="49"/>
    </row>
    <row r="51" spans="2:22" ht="15">
      <c r="B51" s="141" t="s">
        <v>28</v>
      </c>
      <c r="C51" s="7" t="s">
        <v>64</v>
      </c>
      <c r="D51" s="8" t="s">
        <v>6</v>
      </c>
      <c r="E51" s="9">
        <f t="shared" si="7"/>
        <v>6.8850000000000007</v>
      </c>
      <c r="F51" s="9">
        <f t="shared" si="8"/>
        <v>4.5900000000000007</v>
      </c>
      <c r="G51" s="10">
        <f t="shared" si="0"/>
        <v>8.2747401771898552</v>
      </c>
      <c r="H51" s="11">
        <f t="shared" si="1"/>
        <v>5.2287581699346415</v>
      </c>
      <c r="I51" s="12">
        <v>765</v>
      </c>
      <c r="J51" s="13"/>
      <c r="K51" s="14">
        <v>510</v>
      </c>
      <c r="L51" s="15">
        <f t="shared" si="2"/>
        <v>0.39015</v>
      </c>
      <c r="M51" s="16">
        <v>9</v>
      </c>
      <c r="N51" s="17" t="s">
        <v>15</v>
      </c>
      <c r="O51" s="18">
        <v>9</v>
      </c>
      <c r="P51" s="56">
        <f t="shared" si="9"/>
        <v>765</v>
      </c>
      <c r="Q51" s="6" t="s">
        <v>15</v>
      </c>
      <c r="R51" s="57">
        <f t="shared" si="10"/>
        <v>510</v>
      </c>
      <c r="S51" s="4">
        <f t="shared" si="11"/>
        <v>0</v>
      </c>
      <c r="T51" s="5">
        <f t="shared" si="12"/>
        <v>0</v>
      </c>
      <c r="U51" s="22" t="s">
        <v>127</v>
      </c>
      <c r="V51" s="49"/>
    </row>
    <row r="52" spans="2:22" ht="15">
      <c r="B52" s="141" t="s">
        <v>28</v>
      </c>
      <c r="C52" s="7" t="s">
        <v>65</v>
      </c>
      <c r="D52" s="8" t="s">
        <v>6</v>
      </c>
      <c r="E52" s="9">
        <f t="shared" si="7"/>
        <v>13.797000000000002</v>
      </c>
      <c r="F52" s="9">
        <f t="shared" si="8"/>
        <v>9.1980000000000004</v>
      </c>
      <c r="G52" s="10">
        <f t="shared" si="0"/>
        <v>16.581930315858887</v>
      </c>
      <c r="H52" s="11">
        <f t="shared" si="1"/>
        <v>2.6092628832354863</v>
      </c>
      <c r="I52" s="12">
        <v>1533</v>
      </c>
      <c r="J52" s="13" t="s">
        <v>15</v>
      </c>
      <c r="K52" s="14">
        <v>1022</v>
      </c>
      <c r="L52" s="15">
        <f t="shared" si="2"/>
        <v>1.5667260000000001</v>
      </c>
      <c r="M52" s="16">
        <v>9</v>
      </c>
      <c r="N52" s="17" t="s">
        <v>15</v>
      </c>
      <c r="O52" s="18">
        <v>9</v>
      </c>
      <c r="P52" s="56">
        <f t="shared" si="9"/>
        <v>1533</v>
      </c>
      <c r="Q52" s="6" t="s">
        <v>15</v>
      </c>
      <c r="R52" s="57">
        <f t="shared" si="10"/>
        <v>1021.9999999999999</v>
      </c>
      <c r="S52" s="4">
        <f t="shared" si="11"/>
        <v>0</v>
      </c>
      <c r="T52" s="5">
        <f t="shared" si="12"/>
        <v>0</v>
      </c>
      <c r="U52" s="22"/>
      <c r="V52" s="49"/>
    </row>
    <row r="53" spans="2:22" ht="15">
      <c r="B53" s="141" t="s">
        <v>28</v>
      </c>
      <c r="C53" s="7" t="s">
        <v>156</v>
      </c>
      <c r="D53" s="8" t="s">
        <v>6</v>
      </c>
      <c r="E53" s="9">
        <f t="shared" si="7"/>
        <v>13.770000000000001</v>
      </c>
      <c r="F53" s="9">
        <f t="shared" si="8"/>
        <v>9.1800000000000015</v>
      </c>
      <c r="G53" s="10">
        <f t="shared" si="0"/>
        <v>16.54948035437971</v>
      </c>
      <c r="H53" s="11">
        <f t="shared" si="1"/>
        <v>2.6143790849673207</v>
      </c>
      <c r="I53" s="12">
        <v>1530</v>
      </c>
      <c r="J53" s="13" t="s">
        <v>15</v>
      </c>
      <c r="K53" s="14">
        <v>1020</v>
      </c>
      <c r="L53" s="15">
        <f t="shared" si="2"/>
        <v>1.5606</v>
      </c>
      <c r="M53" s="16">
        <v>9</v>
      </c>
      <c r="N53" s="17" t="s">
        <v>15</v>
      </c>
      <c r="O53" s="18">
        <v>9</v>
      </c>
      <c r="P53" s="56">
        <f t="shared" si="9"/>
        <v>1530</v>
      </c>
      <c r="Q53" s="6"/>
      <c r="R53" s="57">
        <f t="shared" si="10"/>
        <v>1020</v>
      </c>
      <c r="S53" s="4">
        <f t="shared" si="11"/>
        <v>0</v>
      </c>
      <c r="T53" s="5">
        <f t="shared" si="12"/>
        <v>0</v>
      </c>
      <c r="U53" s="50" t="s">
        <v>158</v>
      </c>
      <c r="V53" s="49" t="s">
        <v>157</v>
      </c>
    </row>
    <row r="54" spans="2:22" ht="15">
      <c r="B54" s="141" t="s">
        <v>28</v>
      </c>
      <c r="C54" s="7" t="s">
        <v>152</v>
      </c>
      <c r="D54" s="8" t="s">
        <v>6</v>
      </c>
      <c r="E54" s="9">
        <f t="shared" si="7"/>
        <v>10.24</v>
      </c>
      <c r="F54" s="9">
        <f t="shared" si="8"/>
        <v>10.24</v>
      </c>
      <c r="G54" s="10">
        <f t="shared" si="0"/>
        <v>14.481546878700494</v>
      </c>
      <c r="H54" s="11">
        <f t="shared" si="1"/>
        <v>2.9877067462457725</v>
      </c>
      <c r="I54" s="12">
        <v>512</v>
      </c>
      <c r="J54" s="13" t="s">
        <v>15</v>
      </c>
      <c r="K54" s="14">
        <v>512</v>
      </c>
      <c r="L54" s="15">
        <f t="shared" si="2"/>
        <v>0.26214399999999999</v>
      </c>
      <c r="M54" s="16">
        <v>20</v>
      </c>
      <c r="N54" s="17" t="s">
        <v>15</v>
      </c>
      <c r="O54" s="18">
        <v>20</v>
      </c>
      <c r="P54" s="56">
        <f t="shared" si="9"/>
        <v>512</v>
      </c>
      <c r="Q54" s="6"/>
      <c r="R54" s="57">
        <f t="shared" si="10"/>
        <v>512</v>
      </c>
      <c r="S54" s="4">
        <f t="shared" si="11"/>
        <v>0</v>
      </c>
      <c r="T54" s="5">
        <f t="shared" si="12"/>
        <v>0</v>
      </c>
      <c r="U54" s="22" t="s">
        <v>153</v>
      </c>
      <c r="V54" s="49"/>
    </row>
    <row r="55" spans="2:22" ht="15">
      <c r="B55" s="141" t="s">
        <v>28</v>
      </c>
      <c r="C55" s="41" t="s">
        <v>60</v>
      </c>
      <c r="D55" s="8" t="s">
        <v>6</v>
      </c>
      <c r="E55" s="9">
        <f t="shared" si="7"/>
        <v>36.072000000000003</v>
      </c>
      <c r="F55" s="9">
        <f t="shared" si="8"/>
        <v>24.048000000000002</v>
      </c>
      <c r="G55" s="10">
        <f t="shared" si="0"/>
        <v>43.353148536179013</v>
      </c>
      <c r="H55" s="11">
        <f t="shared" si="1"/>
        <v>0.99800399201596801</v>
      </c>
      <c r="I55" s="12">
        <v>4008</v>
      </c>
      <c r="J55" s="13" t="s">
        <v>15</v>
      </c>
      <c r="K55" s="14">
        <v>2672</v>
      </c>
      <c r="L55" s="15">
        <f t="shared" si="2"/>
        <v>10.709376000000001</v>
      </c>
      <c r="M55" s="16">
        <v>9</v>
      </c>
      <c r="N55" s="17" t="s">
        <v>15</v>
      </c>
      <c r="O55" s="18">
        <v>9</v>
      </c>
      <c r="P55" s="56">
        <f t="shared" si="9"/>
        <v>4008</v>
      </c>
      <c r="Q55" s="6" t="s">
        <v>15</v>
      </c>
      <c r="R55" s="57">
        <f t="shared" si="10"/>
        <v>2672</v>
      </c>
      <c r="S55" s="4">
        <f t="shared" si="11"/>
        <v>0</v>
      </c>
      <c r="T55" s="5">
        <f t="shared" si="12"/>
        <v>0</v>
      </c>
      <c r="U55" s="22"/>
      <c r="V55" s="49"/>
    </row>
    <row r="56" spans="2:22" ht="15">
      <c r="B56" s="141" t="s">
        <v>28</v>
      </c>
      <c r="C56" s="41" t="s">
        <v>147</v>
      </c>
      <c r="D56" s="8" t="s">
        <v>6</v>
      </c>
      <c r="E56" s="9">
        <f>M56*10^(-3)*I56</f>
        <v>17.9604</v>
      </c>
      <c r="F56" s="9">
        <f>O56*10^(-3)*K56</f>
        <v>13.521600000000001</v>
      </c>
      <c r="G56" s="10">
        <f>SQRT(E56^2+F56^2)</f>
        <v>22.481317459615219</v>
      </c>
      <c r="H56" s="11">
        <f>IF(E56=0,"",SQRT((36^2)+(24^2))/SQRT((E56^2)+(F56^2)))</f>
        <v>1.9245587089498093</v>
      </c>
      <c r="I56" s="12">
        <v>3326</v>
      </c>
      <c r="J56" s="13" t="s">
        <v>15</v>
      </c>
      <c r="K56" s="14">
        <v>2504</v>
      </c>
      <c r="L56" s="15">
        <f>IF(H56=0,"",I56*K56/10^6)</f>
        <v>8.3283039999999993</v>
      </c>
      <c r="M56" s="16">
        <v>5.4</v>
      </c>
      <c r="N56" s="17" t="s">
        <v>15</v>
      </c>
      <c r="O56" s="18">
        <v>5.4</v>
      </c>
      <c r="P56" s="56"/>
      <c r="Q56" s="6"/>
      <c r="R56" s="57"/>
      <c r="S56" s="4"/>
      <c r="T56" s="5"/>
      <c r="U56" s="22" t="s">
        <v>148</v>
      </c>
      <c r="V56" s="49"/>
    </row>
    <row r="57" spans="2:22" ht="15">
      <c r="B57" s="141" t="s">
        <v>19</v>
      </c>
      <c r="C57" s="7" t="s">
        <v>20</v>
      </c>
      <c r="D57" s="8" t="s">
        <v>6</v>
      </c>
      <c r="E57" s="9">
        <f t="shared" si="7"/>
        <v>22.705920000000003</v>
      </c>
      <c r="F57" s="9">
        <f t="shared" si="8"/>
        <v>15.10224</v>
      </c>
      <c r="G57" s="10">
        <f t="shared" si="0"/>
        <v>27.269698496023022</v>
      </c>
      <c r="H57" s="11">
        <f t="shared" si="1"/>
        <v>1.5866187633822877</v>
      </c>
      <c r="I57" s="12">
        <v>2592</v>
      </c>
      <c r="J57" s="13" t="s">
        <v>15</v>
      </c>
      <c r="K57" s="14">
        <v>1724</v>
      </c>
      <c r="L57" s="15">
        <f t="shared" si="2"/>
        <v>4.4686079999999997</v>
      </c>
      <c r="M57" s="16">
        <v>8.76</v>
      </c>
      <c r="N57" s="17" t="s">
        <v>15</v>
      </c>
      <c r="O57" s="18">
        <f>M57</f>
        <v>8.76</v>
      </c>
      <c r="P57" s="56">
        <f t="shared" si="9"/>
        <v>2592</v>
      </c>
      <c r="Q57" s="6" t="s">
        <v>15</v>
      </c>
      <c r="R57" s="57">
        <f t="shared" si="10"/>
        <v>1724</v>
      </c>
      <c r="S57" s="4">
        <f t="shared" si="11"/>
        <v>0</v>
      </c>
      <c r="T57" s="5">
        <f t="shared" si="12"/>
        <v>0</v>
      </c>
      <c r="U57" s="22"/>
      <c r="V57" s="49"/>
    </row>
    <row r="58" spans="2:22" ht="15">
      <c r="B58" s="141" t="s">
        <v>32</v>
      </c>
      <c r="C58" s="7" t="s">
        <v>47</v>
      </c>
      <c r="D58" s="8" t="s">
        <v>6</v>
      </c>
      <c r="E58" s="9">
        <f t="shared" si="7"/>
        <v>6.2975999999999992</v>
      </c>
      <c r="F58" s="9">
        <f t="shared" si="8"/>
        <v>4.7628000000000004</v>
      </c>
      <c r="G58" s="10">
        <f t="shared" si="0"/>
        <v>7.8958235542595556</v>
      </c>
      <c r="H58" s="11">
        <f t="shared" si="1"/>
        <v>5.479683659119619</v>
      </c>
      <c r="I58" s="12">
        <v>768</v>
      </c>
      <c r="J58" s="13" t="s">
        <v>15</v>
      </c>
      <c r="K58" s="14">
        <v>567</v>
      </c>
      <c r="L58" s="15">
        <f t="shared" si="2"/>
        <v>0.43545600000000001</v>
      </c>
      <c r="M58" s="16">
        <v>8.1999999999999993</v>
      </c>
      <c r="N58" s="17" t="s">
        <v>15</v>
      </c>
      <c r="O58" s="18">
        <v>8.4</v>
      </c>
      <c r="P58" s="56">
        <f t="shared" si="9"/>
        <v>768</v>
      </c>
      <c r="Q58" s="6" t="s">
        <v>15</v>
      </c>
      <c r="R58" s="57">
        <f t="shared" si="10"/>
        <v>567</v>
      </c>
      <c r="S58" s="4">
        <f t="shared" si="11"/>
        <v>0</v>
      </c>
      <c r="T58" s="5">
        <f t="shared" si="12"/>
        <v>0</v>
      </c>
      <c r="U58" s="22" t="s">
        <v>128</v>
      </c>
      <c r="V58" s="49"/>
    </row>
    <row r="59" spans="2:22" ht="15">
      <c r="B59" s="141" t="s">
        <v>32</v>
      </c>
      <c r="C59" s="7" t="s">
        <v>31</v>
      </c>
      <c r="D59" s="8" t="s">
        <v>6</v>
      </c>
      <c r="E59" s="9">
        <f t="shared" si="7"/>
        <v>7.2290400000000012</v>
      </c>
      <c r="F59" s="9">
        <f t="shared" si="8"/>
        <v>5.3695200000000005</v>
      </c>
      <c r="G59" s="10">
        <f t="shared" si="0"/>
        <v>9.0050410522107018</v>
      </c>
      <c r="H59" s="11">
        <f t="shared" si="1"/>
        <v>4.8047105010083317</v>
      </c>
      <c r="I59" s="12">
        <v>2317</v>
      </c>
      <c r="J59" s="13" t="s">
        <v>15</v>
      </c>
      <c r="K59" s="14">
        <v>1721</v>
      </c>
      <c r="L59" s="15">
        <f t="shared" si="2"/>
        <v>3.9875569999999998</v>
      </c>
      <c r="M59" s="16">
        <v>3.12</v>
      </c>
      <c r="N59" s="17" t="s">
        <v>15</v>
      </c>
      <c r="O59" s="18">
        <v>3.12</v>
      </c>
      <c r="P59" s="56">
        <f t="shared" si="9"/>
        <v>2317</v>
      </c>
      <c r="Q59" s="6" t="s">
        <v>15</v>
      </c>
      <c r="R59" s="57">
        <f t="shared" si="10"/>
        <v>1721</v>
      </c>
      <c r="S59" s="4">
        <f t="shared" si="11"/>
        <v>0</v>
      </c>
      <c r="T59" s="5">
        <f t="shared" si="12"/>
        <v>0</v>
      </c>
      <c r="U59" s="22" t="s">
        <v>129</v>
      </c>
      <c r="V59" s="91"/>
    </row>
    <row r="60" spans="2:22" ht="15">
      <c r="B60" s="141" t="s">
        <v>32</v>
      </c>
      <c r="C60" s="7" t="s">
        <v>45</v>
      </c>
      <c r="D60" s="8" t="s">
        <v>6</v>
      </c>
      <c r="E60" s="9">
        <f t="shared" si="7"/>
        <v>8.9977499999999999</v>
      </c>
      <c r="F60" s="9">
        <f t="shared" si="8"/>
        <v>6.7015500000000001</v>
      </c>
      <c r="G60" s="10">
        <f t="shared" si="0"/>
        <v>11.219192371334044</v>
      </c>
      <c r="H60" s="11">
        <f t="shared" si="1"/>
        <v>3.8564821667660878</v>
      </c>
      <c r="I60" s="12">
        <v>1395</v>
      </c>
      <c r="J60" s="13" t="s">
        <v>15</v>
      </c>
      <c r="K60" s="14">
        <v>1039</v>
      </c>
      <c r="L60" s="15">
        <f t="shared" si="2"/>
        <v>1.4494050000000001</v>
      </c>
      <c r="M60" s="16">
        <v>6.45</v>
      </c>
      <c r="N60" s="17" t="s">
        <v>15</v>
      </c>
      <c r="O60" s="18">
        <v>6.45</v>
      </c>
      <c r="P60" s="56">
        <f t="shared" si="9"/>
        <v>1395</v>
      </c>
      <c r="Q60" s="6" t="s">
        <v>15</v>
      </c>
      <c r="R60" s="57">
        <f t="shared" si="10"/>
        <v>1039</v>
      </c>
      <c r="S60" s="4">
        <f t="shared" si="11"/>
        <v>0</v>
      </c>
      <c r="T60" s="5">
        <f t="shared" si="12"/>
        <v>0</v>
      </c>
      <c r="U60" s="22" t="s">
        <v>111</v>
      </c>
      <c r="V60" s="49"/>
    </row>
    <row r="61" spans="2:22" ht="15">
      <c r="B61" s="141" t="s">
        <v>32</v>
      </c>
      <c r="C61" s="21" t="s">
        <v>117</v>
      </c>
      <c r="D61" s="8" t="s">
        <v>6</v>
      </c>
      <c r="E61" s="9">
        <f t="shared" si="7"/>
        <v>17.9604</v>
      </c>
      <c r="F61" s="9">
        <f t="shared" si="8"/>
        <v>13.521600000000001</v>
      </c>
      <c r="G61" s="10">
        <f t="shared" si="0"/>
        <v>22.481317459615219</v>
      </c>
      <c r="H61" s="11">
        <f t="shared" si="1"/>
        <v>1.9245587089498093</v>
      </c>
      <c r="I61" s="12">
        <v>3326</v>
      </c>
      <c r="J61" s="13" t="s">
        <v>15</v>
      </c>
      <c r="K61" s="14">
        <v>2504</v>
      </c>
      <c r="L61" s="15">
        <f t="shared" si="2"/>
        <v>8.3283039999999993</v>
      </c>
      <c r="M61" s="16">
        <v>5.4</v>
      </c>
      <c r="N61" s="17" t="s">
        <v>15</v>
      </c>
      <c r="O61" s="18">
        <v>5.4</v>
      </c>
      <c r="P61" s="56"/>
      <c r="Q61" s="6"/>
      <c r="R61" s="57"/>
      <c r="S61" s="4"/>
      <c r="T61" s="5"/>
      <c r="U61" s="22" t="s">
        <v>130</v>
      </c>
      <c r="V61" s="49"/>
    </row>
    <row r="62" spans="2:22" ht="15">
      <c r="B62" s="141" t="s">
        <v>32</v>
      </c>
      <c r="C62" s="7" t="s">
        <v>27</v>
      </c>
      <c r="D62" s="8" t="s">
        <v>6</v>
      </c>
      <c r="E62" s="9">
        <f t="shared" si="7"/>
        <v>23.587199999999999</v>
      </c>
      <c r="F62" s="9">
        <f t="shared" si="8"/>
        <v>15.7248</v>
      </c>
      <c r="G62" s="10">
        <f t="shared" si="0"/>
        <v>28.34828634820807</v>
      </c>
      <c r="H62" s="11">
        <f t="shared" si="1"/>
        <v>1.5262515262515264</v>
      </c>
      <c r="I62" s="12">
        <v>3024</v>
      </c>
      <c r="J62" s="13" t="s">
        <v>15</v>
      </c>
      <c r="K62" s="14">
        <v>2016</v>
      </c>
      <c r="L62" s="15">
        <f t="shared" si="2"/>
        <v>6.0963839999999996</v>
      </c>
      <c r="M62" s="16">
        <v>7.8</v>
      </c>
      <c r="N62" s="17" t="s">
        <v>15</v>
      </c>
      <c r="O62" s="18">
        <v>7.8</v>
      </c>
      <c r="P62" s="56">
        <f>E62/(M62*10^(-3))</f>
        <v>3024</v>
      </c>
      <c r="Q62" s="6" t="s">
        <v>15</v>
      </c>
      <c r="R62" s="57">
        <f>F62/(O62*10^(-3))</f>
        <v>2016</v>
      </c>
      <c r="S62" s="4">
        <f>P62-I62</f>
        <v>0</v>
      </c>
      <c r="T62" s="5">
        <f>R62-K62</f>
        <v>0</v>
      </c>
      <c r="U62" s="22" t="s">
        <v>131</v>
      </c>
      <c r="V62" s="49"/>
    </row>
    <row r="63" spans="2:22" ht="15">
      <c r="B63" s="141" t="s">
        <v>32</v>
      </c>
      <c r="C63" s="7" t="s">
        <v>114</v>
      </c>
      <c r="D63" s="8" t="s">
        <v>6</v>
      </c>
      <c r="E63" s="9">
        <f t="shared" si="7"/>
        <v>23.587199999999999</v>
      </c>
      <c r="F63" s="9">
        <f t="shared" si="8"/>
        <v>15.7248</v>
      </c>
      <c r="G63" s="10">
        <f t="shared" si="0"/>
        <v>28.34828634820807</v>
      </c>
      <c r="H63" s="11">
        <f t="shared" si="1"/>
        <v>1.5262515262515264</v>
      </c>
      <c r="I63" s="12">
        <v>3024</v>
      </c>
      <c r="J63" s="13" t="s">
        <v>15</v>
      </c>
      <c r="K63" s="14">
        <v>2016</v>
      </c>
      <c r="L63" s="15">
        <f t="shared" si="2"/>
        <v>6.0963839999999996</v>
      </c>
      <c r="M63" s="16">
        <v>7.8</v>
      </c>
      <c r="N63" s="17" t="s">
        <v>15</v>
      </c>
      <c r="O63" s="18">
        <v>7.8</v>
      </c>
      <c r="P63" s="56"/>
      <c r="Q63" s="6"/>
      <c r="R63" s="57"/>
      <c r="S63" s="4"/>
      <c r="T63" s="5"/>
      <c r="U63" s="22" t="s">
        <v>132</v>
      </c>
      <c r="V63" s="49"/>
    </row>
    <row r="64" spans="2:22" ht="15">
      <c r="B64" s="141" t="s">
        <v>119</v>
      </c>
      <c r="C64" s="21" t="s">
        <v>48</v>
      </c>
      <c r="D64" s="8" t="s">
        <v>7</v>
      </c>
      <c r="E64" s="9">
        <f t="shared" si="7"/>
        <v>3.5840000000000001</v>
      </c>
      <c r="F64" s="9">
        <f t="shared" si="8"/>
        <v>2.6880000000000002</v>
      </c>
      <c r="G64" s="10">
        <f t="shared" si="0"/>
        <v>4.4800000000000004</v>
      </c>
      <c r="H64" s="11">
        <f t="shared" si="1"/>
        <v>9.6577266307071135</v>
      </c>
      <c r="I64" s="12">
        <v>640</v>
      </c>
      <c r="J64" s="13" t="s">
        <v>15</v>
      </c>
      <c r="K64" s="14">
        <v>480</v>
      </c>
      <c r="L64" s="15">
        <f t="shared" si="2"/>
        <v>0.30719999999999997</v>
      </c>
      <c r="M64" s="16">
        <v>5.6</v>
      </c>
      <c r="N64" s="17" t="s">
        <v>15</v>
      </c>
      <c r="O64" s="18">
        <v>5.6</v>
      </c>
      <c r="P64" s="56">
        <f>E64/(M64*10^(-3))</f>
        <v>640</v>
      </c>
      <c r="Q64" s="6" t="s">
        <v>15</v>
      </c>
      <c r="R64" s="57">
        <f>F64/(O64*10^(-3))</f>
        <v>480.00000000000006</v>
      </c>
      <c r="S64" s="4">
        <f>P64-I64</f>
        <v>0</v>
      </c>
      <c r="T64" s="5">
        <f>R64-K64</f>
        <v>0</v>
      </c>
      <c r="U64" s="22" t="s">
        <v>122</v>
      </c>
      <c r="V64" s="49"/>
    </row>
    <row r="65" spans="2:22" ht="15">
      <c r="B65" s="141" t="s">
        <v>119</v>
      </c>
      <c r="C65" s="21" t="s">
        <v>115</v>
      </c>
      <c r="D65" s="8" t="s">
        <v>7</v>
      </c>
      <c r="E65" s="9">
        <f t="shared" si="7"/>
        <v>3.5840000000000001</v>
      </c>
      <c r="F65" s="9">
        <f t="shared" si="8"/>
        <v>2.6880000000000002</v>
      </c>
      <c r="G65" s="10">
        <f t="shared" si="0"/>
        <v>4.4800000000000004</v>
      </c>
      <c r="H65" s="11">
        <f t="shared" si="1"/>
        <v>9.6577266307071135</v>
      </c>
      <c r="I65" s="12">
        <v>640</v>
      </c>
      <c r="J65" s="13" t="s">
        <v>15</v>
      </c>
      <c r="K65" s="14">
        <v>480</v>
      </c>
      <c r="L65" s="15">
        <f t="shared" si="2"/>
        <v>0.30719999999999997</v>
      </c>
      <c r="M65" s="16">
        <v>5.6</v>
      </c>
      <c r="N65" s="17" t="s">
        <v>15</v>
      </c>
      <c r="O65" s="18">
        <v>5.6</v>
      </c>
      <c r="P65" s="56"/>
      <c r="Q65" s="6"/>
      <c r="R65" s="57"/>
      <c r="S65" s="4"/>
      <c r="T65" s="5"/>
      <c r="U65" s="22" t="s">
        <v>133</v>
      </c>
      <c r="V65" s="49"/>
    </row>
    <row r="66" spans="2:22" ht="15">
      <c r="B66" s="141" t="s">
        <v>119</v>
      </c>
      <c r="C66" s="21" t="s">
        <v>118</v>
      </c>
      <c r="D66" s="8" t="s">
        <v>7</v>
      </c>
      <c r="E66" s="9">
        <f t="shared" si="7"/>
        <v>3.5840000000000001</v>
      </c>
      <c r="F66" s="9">
        <f t="shared" si="8"/>
        <v>2.6880000000000002</v>
      </c>
      <c r="G66" s="10">
        <f t="shared" si="0"/>
        <v>4.4800000000000004</v>
      </c>
      <c r="H66" s="11">
        <f t="shared" si="1"/>
        <v>9.6577266307071135</v>
      </c>
      <c r="I66" s="12">
        <v>640</v>
      </c>
      <c r="J66" s="13" t="s">
        <v>15</v>
      </c>
      <c r="K66" s="14">
        <v>480</v>
      </c>
      <c r="L66" s="15">
        <f t="shared" si="2"/>
        <v>0.30719999999999997</v>
      </c>
      <c r="M66" s="16">
        <v>5.6</v>
      </c>
      <c r="N66" s="17" t="s">
        <v>15</v>
      </c>
      <c r="O66" s="18">
        <v>5.6</v>
      </c>
      <c r="P66" s="56"/>
      <c r="Q66" s="6"/>
      <c r="R66" s="57"/>
      <c r="S66" s="4"/>
      <c r="T66" s="5"/>
      <c r="U66" s="39" t="s">
        <v>134</v>
      </c>
      <c r="V66" s="49"/>
    </row>
    <row r="67" spans="2:22" ht="15">
      <c r="B67" s="141" t="s">
        <v>119</v>
      </c>
      <c r="C67" s="51" t="s">
        <v>135</v>
      </c>
      <c r="D67" s="8" t="s">
        <v>7</v>
      </c>
      <c r="E67" s="9">
        <f t="shared" si="7"/>
        <v>4.7616000000000005</v>
      </c>
      <c r="F67" s="9">
        <f t="shared" si="8"/>
        <v>3.5712000000000002</v>
      </c>
      <c r="G67" s="10">
        <f>SQRT(E67^2+F67^2)</f>
        <v>5.9520000000000008</v>
      </c>
      <c r="H67" s="11">
        <f>IF(E67=0,"",SQRT((36^2)+(24^2))/SQRT((E67^2)+(F67^2)))</f>
        <v>7.2692566037580422</v>
      </c>
      <c r="I67" s="12">
        <v>1024</v>
      </c>
      <c r="J67" s="13" t="s">
        <v>15</v>
      </c>
      <c r="K67" s="14">
        <v>768</v>
      </c>
      <c r="L67" s="15">
        <f>IF(H67=0,"",I67*K67/10^6)</f>
        <v>0.78643200000000002</v>
      </c>
      <c r="M67" s="16">
        <v>4.6500000000000004</v>
      </c>
      <c r="N67" s="17" t="s">
        <v>15</v>
      </c>
      <c r="O67" s="18">
        <v>4.6500000000000004</v>
      </c>
      <c r="P67" s="56"/>
      <c r="Q67" s="6"/>
      <c r="R67" s="57"/>
      <c r="S67" s="4"/>
      <c r="T67" s="5"/>
      <c r="U67" s="51" t="s">
        <v>136</v>
      </c>
      <c r="V67" s="52" t="s">
        <v>137</v>
      </c>
    </row>
    <row r="68" spans="2:22" ht="15">
      <c r="B68" s="141" t="s">
        <v>119</v>
      </c>
      <c r="C68" s="51" t="s">
        <v>140</v>
      </c>
      <c r="D68" s="8" t="s">
        <v>7</v>
      </c>
      <c r="E68" s="9">
        <f>M68*10^(-3)*I68</f>
        <v>5.9520000000000008</v>
      </c>
      <c r="F68" s="9">
        <f>O68*10^(-3)*K68</f>
        <v>4.4640000000000004</v>
      </c>
      <c r="G68" s="10">
        <f>SQRT(E68^2+F68^2)</f>
        <v>7.4400000000000013</v>
      </c>
      <c r="H68" s="11">
        <f>IF(E68=0,"",SQRT((36^2)+(24^2))/SQRT((E68^2)+(F68^2)))</f>
        <v>5.8154052830064336</v>
      </c>
      <c r="I68" s="12">
        <v>1280</v>
      </c>
      <c r="J68" s="13" t="s">
        <v>15</v>
      </c>
      <c r="K68" s="14">
        <v>960</v>
      </c>
      <c r="L68" s="15">
        <f>IF(H68=0,"",I68*K68/10^6)</f>
        <v>1.2287999999999999</v>
      </c>
      <c r="M68" s="16">
        <v>4.6500000000000004</v>
      </c>
      <c r="N68" s="17" t="s">
        <v>15</v>
      </c>
      <c r="O68" s="18">
        <v>4.6500000000000004</v>
      </c>
      <c r="P68" s="56"/>
      <c r="Q68" s="6"/>
      <c r="R68" s="57"/>
      <c r="S68" s="4"/>
      <c r="T68" s="5"/>
      <c r="U68" s="51" t="s">
        <v>141</v>
      </c>
      <c r="V68" s="52" t="s">
        <v>137</v>
      </c>
    </row>
    <row r="69" spans="2:22" ht="15">
      <c r="B69" s="141" t="s">
        <v>68</v>
      </c>
      <c r="C69" s="7" t="s">
        <v>69</v>
      </c>
      <c r="D69" s="8" t="s">
        <v>6</v>
      </c>
      <c r="E69" s="9">
        <f>M69*10^(-3)*I69</f>
        <v>6.4672000000000001</v>
      </c>
      <c r="F69" s="9">
        <f>O69*10^(-3)*K69</f>
        <v>4.8306000000000004</v>
      </c>
      <c r="G69" s="10">
        <f>SQRT(E69^2+F69^2)</f>
        <v>8.0721355414784757</v>
      </c>
      <c r="H69" s="11">
        <f>IF(E69=0,"",SQRT((36^2)+(24^2))/SQRT((E69^2)+(F69^2)))</f>
        <v>5.3599961352536027</v>
      </c>
      <c r="I69" s="12">
        <v>752</v>
      </c>
      <c r="J69" s="13" t="s">
        <v>15</v>
      </c>
      <c r="K69" s="14">
        <v>582</v>
      </c>
      <c r="L69" s="15">
        <f>IF(H69=0,"",I69*K69/10^6)</f>
        <v>0.437664</v>
      </c>
      <c r="M69" s="16">
        <v>8.6</v>
      </c>
      <c r="N69" s="17" t="s">
        <v>15</v>
      </c>
      <c r="O69" s="18">
        <v>8.3000000000000007</v>
      </c>
      <c r="P69" s="56">
        <f>E69/(M69*10^(-3))</f>
        <v>752</v>
      </c>
      <c r="Q69" s="6" t="s">
        <v>15</v>
      </c>
      <c r="R69" s="57">
        <f>F69/(O69*10^(-3))</f>
        <v>582</v>
      </c>
      <c r="S69" s="4">
        <f>P69-I69</f>
        <v>0</v>
      </c>
      <c r="T69" s="5">
        <f>R69-K69</f>
        <v>0</v>
      </c>
      <c r="U69" s="22"/>
      <c r="V69" s="49"/>
    </row>
    <row r="70" spans="2:22" ht="15">
      <c r="B70" s="141" t="s">
        <v>154</v>
      </c>
      <c r="C70" s="90" t="s">
        <v>188</v>
      </c>
      <c r="D70" s="8" t="s">
        <v>7</v>
      </c>
      <c r="E70" s="9">
        <f t="shared" ref="E70:E75" si="13">M70*10^(-3)*I70</f>
        <v>4.8</v>
      </c>
      <c r="F70" s="9">
        <f t="shared" ref="F70:F75" si="14">O70*10^(-3)*K70</f>
        <v>3.5999999999999996</v>
      </c>
      <c r="G70" s="10">
        <f t="shared" ref="G70:G75" si="15">SQRT(E70^2+F70^2)</f>
        <v>6</v>
      </c>
      <c r="H70" s="11">
        <f t="shared" ref="H70:H75" si="16">IF(E70=0,"",SQRT((36^2)+(24^2))/SQRT((E70^2)+(F70^2)))</f>
        <v>7.2111025509279791</v>
      </c>
      <c r="I70" s="12">
        <v>1280</v>
      </c>
      <c r="J70" s="13" t="s">
        <v>15</v>
      </c>
      <c r="K70" s="14">
        <v>960</v>
      </c>
      <c r="L70" s="15">
        <f t="shared" ref="L70:L75" si="17">IF(H70=0,"",I70*K70/10^6)</f>
        <v>1.2287999999999999</v>
      </c>
      <c r="M70" s="16">
        <v>3.75</v>
      </c>
      <c r="N70" s="17" t="s">
        <v>15</v>
      </c>
      <c r="O70" s="18">
        <v>3.75</v>
      </c>
      <c r="P70" s="56">
        <f t="shared" ref="P70:P75" si="18">E70/(M70*10^(-3))</f>
        <v>1280</v>
      </c>
      <c r="Q70" s="6" t="s">
        <v>15</v>
      </c>
      <c r="R70" s="57">
        <f t="shared" ref="R70:R75" si="19">F70/(O70*10^(-3))</f>
        <v>959.99999999999989</v>
      </c>
      <c r="S70" s="4">
        <f t="shared" ref="S70:S75" si="20">P70-I70</f>
        <v>0</v>
      </c>
      <c r="T70" s="5">
        <f t="shared" ref="T70:T75" si="21">R70-K70</f>
        <v>0</v>
      </c>
      <c r="U70" s="22" t="s">
        <v>155</v>
      </c>
      <c r="V70" s="49" t="s">
        <v>137</v>
      </c>
    </row>
    <row r="71" spans="2:22" ht="15">
      <c r="B71" s="141" t="s">
        <v>154</v>
      </c>
      <c r="C71" s="90" t="s">
        <v>173</v>
      </c>
      <c r="D71" s="8" t="s">
        <v>7</v>
      </c>
      <c r="E71" s="9">
        <f t="shared" si="13"/>
        <v>11.34496</v>
      </c>
      <c r="F71" s="9">
        <f t="shared" si="14"/>
        <v>7.1257600000000005</v>
      </c>
      <c r="G71" s="10">
        <f t="shared" si="15"/>
        <v>13.397185263300647</v>
      </c>
      <c r="H71" s="11">
        <f t="shared" si="16"/>
        <v>3.2295302673830708</v>
      </c>
      <c r="I71" s="12">
        <v>1936</v>
      </c>
      <c r="J71" s="13" t="s">
        <v>15</v>
      </c>
      <c r="K71" s="14">
        <v>1216</v>
      </c>
      <c r="L71" s="15">
        <f t="shared" si="17"/>
        <v>2.3541759999999998</v>
      </c>
      <c r="M71" s="16">
        <v>5.86</v>
      </c>
      <c r="N71" s="17" t="s">
        <v>15</v>
      </c>
      <c r="O71" s="18">
        <v>5.86</v>
      </c>
      <c r="P71" s="56">
        <f t="shared" si="18"/>
        <v>1935.9999999999998</v>
      </c>
      <c r="Q71" s="6" t="s">
        <v>15</v>
      </c>
      <c r="R71" s="57">
        <f t="shared" si="19"/>
        <v>1216</v>
      </c>
      <c r="S71" s="4">
        <f t="shared" si="20"/>
        <v>0</v>
      </c>
      <c r="T71" s="5">
        <f t="shared" si="21"/>
        <v>0</v>
      </c>
      <c r="U71" s="22" t="s">
        <v>174</v>
      </c>
      <c r="V71" s="49" t="s">
        <v>137</v>
      </c>
    </row>
    <row r="72" spans="2:22" ht="15">
      <c r="B72" s="141" t="s">
        <v>154</v>
      </c>
      <c r="C72" s="90" t="s">
        <v>197</v>
      </c>
      <c r="D72" s="8" t="s">
        <v>7</v>
      </c>
      <c r="E72" s="9">
        <f t="shared" si="13"/>
        <v>7.4303999999999997</v>
      </c>
      <c r="F72" s="9">
        <f t="shared" si="14"/>
        <v>4.992</v>
      </c>
      <c r="G72" s="10">
        <f t="shared" si="15"/>
        <v>8.9515869073589407</v>
      </c>
      <c r="H72" s="11">
        <f t="shared" si="16"/>
        <v>4.8334016921624432</v>
      </c>
      <c r="I72" s="12">
        <v>3096</v>
      </c>
      <c r="J72" s="13" t="s">
        <v>15</v>
      </c>
      <c r="K72" s="14">
        <v>2080</v>
      </c>
      <c r="L72" s="15">
        <f t="shared" si="17"/>
        <v>6.4396800000000001</v>
      </c>
      <c r="M72" s="16">
        <v>2.4</v>
      </c>
      <c r="N72" s="17" t="s">
        <v>15</v>
      </c>
      <c r="O72" s="18">
        <v>2.4</v>
      </c>
      <c r="P72" s="56">
        <f t="shared" si="18"/>
        <v>3096</v>
      </c>
      <c r="Q72" s="6"/>
      <c r="R72" s="57">
        <f t="shared" si="19"/>
        <v>2080</v>
      </c>
      <c r="S72" s="4">
        <f t="shared" si="20"/>
        <v>0</v>
      </c>
      <c r="T72" s="5">
        <f t="shared" si="21"/>
        <v>0</v>
      </c>
      <c r="U72" s="22" t="s">
        <v>198</v>
      </c>
      <c r="V72" s="49" t="s">
        <v>164</v>
      </c>
    </row>
    <row r="73" spans="2:22" ht="15">
      <c r="B73" s="141" t="s">
        <v>154</v>
      </c>
      <c r="C73" s="53" t="s">
        <v>175</v>
      </c>
      <c r="D73" s="8" t="s">
        <v>7</v>
      </c>
      <c r="E73" s="9">
        <f t="shared" si="13"/>
        <v>13.190399999999999</v>
      </c>
      <c r="F73" s="9">
        <f t="shared" si="14"/>
        <v>8.8127999999999993</v>
      </c>
      <c r="G73" s="10">
        <f t="shared" si="15"/>
        <v>15.863546135716312</v>
      </c>
      <c r="H73" s="11">
        <f t="shared" si="16"/>
        <v>2.7274239275009484</v>
      </c>
      <c r="I73" s="12">
        <v>5496</v>
      </c>
      <c r="J73" s="13" t="s">
        <v>15</v>
      </c>
      <c r="K73" s="14">
        <v>3672</v>
      </c>
      <c r="L73" s="15">
        <f t="shared" si="17"/>
        <v>20.181311999999998</v>
      </c>
      <c r="M73" s="16">
        <v>2.4</v>
      </c>
      <c r="N73" s="17" t="s">
        <v>15</v>
      </c>
      <c r="O73" s="18">
        <v>2.4</v>
      </c>
      <c r="P73" s="56">
        <f t="shared" si="18"/>
        <v>5496</v>
      </c>
      <c r="Q73" s="6" t="s">
        <v>15</v>
      </c>
      <c r="R73" s="57">
        <f t="shared" si="19"/>
        <v>3672</v>
      </c>
      <c r="S73" s="4">
        <f t="shared" si="20"/>
        <v>0</v>
      </c>
      <c r="T73" s="5">
        <f t="shared" si="21"/>
        <v>0</v>
      </c>
      <c r="U73" s="92" t="s">
        <v>176</v>
      </c>
      <c r="V73" s="52" t="s">
        <v>137</v>
      </c>
    </row>
    <row r="74" spans="2:22" ht="15">
      <c r="B74" s="141" t="s">
        <v>154</v>
      </c>
      <c r="C74" s="53" t="s">
        <v>162</v>
      </c>
      <c r="D74" s="8" t="s">
        <v>7</v>
      </c>
      <c r="E74" s="9">
        <f t="shared" si="13"/>
        <v>4.8899999999999997</v>
      </c>
      <c r="F74" s="9">
        <f t="shared" si="14"/>
        <v>3.6599999999999997</v>
      </c>
      <c r="G74" s="10">
        <f t="shared" si="15"/>
        <v>6.1080029469541026</v>
      </c>
      <c r="H74" s="11">
        <f t="shared" si="16"/>
        <v>7.0835943730419739</v>
      </c>
      <c r="I74" s="12">
        <v>1304</v>
      </c>
      <c r="J74" s="13" t="s">
        <v>15</v>
      </c>
      <c r="K74" s="14">
        <v>976</v>
      </c>
      <c r="L74" s="15">
        <f t="shared" si="17"/>
        <v>1.2727040000000001</v>
      </c>
      <c r="M74" s="16">
        <v>3.75</v>
      </c>
      <c r="N74" s="17" t="s">
        <v>15</v>
      </c>
      <c r="O74" s="18">
        <v>3.75</v>
      </c>
      <c r="P74" s="56">
        <f t="shared" si="18"/>
        <v>1304</v>
      </c>
      <c r="Q74" s="6" t="s">
        <v>15</v>
      </c>
      <c r="R74" s="57">
        <f t="shared" si="19"/>
        <v>976</v>
      </c>
      <c r="S74" s="4">
        <f t="shared" si="20"/>
        <v>0</v>
      </c>
      <c r="T74" s="5">
        <f t="shared" si="21"/>
        <v>0</v>
      </c>
      <c r="U74" s="22" t="s">
        <v>163</v>
      </c>
      <c r="V74" s="49" t="s">
        <v>164</v>
      </c>
    </row>
    <row r="75" spans="2:22" ht="15">
      <c r="B75" s="141" t="s">
        <v>154</v>
      </c>
      <c r="C75" s="53" t="s">
        <v>202</v>
      </c>
      <c r="D75" s="8" t="s">
        <v>7</v>
      </c>
      <c r="E75" s="9">
        <f t="shared" si="13"/>
        <v>5.6143999999999998</v>
      </c>
      <c r="F75" s="9">
        <f t="shared" si="14"/>
        <v>3.1783999999999999</v>
      </c>
      <c r="G75" s="10">
        <f t="shared" si="15"/>
        <v>6.4516442803366028</v>
      </c>
      <c r="H75" s="11">
        <f t="shared" si="16"/>
        <v>6.7062927566289376</v>
      </c>
      <c r="I75" s="12">
        <v>1936</v>
      </c>
      <c r="J75" s="13" t="s">
        <v>15</v>
      </c>
      <c r="K75" s="14">
        <v>1096</v>
      </c>
      <c r="L75" s="15">
        <f t="shared" si="17"/>
        <v>2.1218560000000002</v>
      </c>
      <c r="M75" s="16">
        <v>2.9</v>
      </c>
      <c r="N75" s="17" t="s">
        <v>15</v>
      </c>
      <c r="O75" s="18">
        <v>2.9</v>
      </c>
      <c r="P75" s="56">
        <f t="shared" si="18"/>
        <v>1936</v>
      </c>
      <c r="Q75" s="6"/>
      <c r="R75" s="57">
        <f t="shared" si="19"/>
        <v>1096</v>
      </c>
      <c r="S75" s="4">
        <f t="shared" si="20"/>
        <v>0</v>
      </c>
      <c r="T75" s="5">
        <f t="shared" si="21"/>
        <v>0</v>
      </c>
      <c r="U75" s="22"/>
      <c r="V75" s="49" t="s">
        <v>137</v>
      </c>
    </row>
    <row r="76" spans="2:22" ht="15">
      <c r="B76" s="141" t="s">
        <v>154</v>
      </c>
      <c r="C76" s="53" t="s">
        <v>195</v>
      </c>
      <c r="D76" s="8" t="s">
        <v>7</v>
      </c>
      <c r="E76" s="9">
        <f t="shared" ref="E76:E81" si="22">M76*10^(-3)*I76</f>
        <v>19.186719999999998</v>
      </c>
      <c r="F76" s="9">
        <f t="shared" ref="F76:F81" si="23">O76*10^(-3)*K76</f>
        <v>13.065859999999999</v>
      </c>
      <c r="G76" s="10">
        <f t="shared" ref="G76:G81" si="24">SQRT(E76^2+F76^2)</f>
        <v>23.213076528069259</v>
      </c>
      <c r="H76" s="11">
        <f t="shared" ref="H76:H81" si="25">IF(E76=0,"",SQRT((36^2)+(24^2))/SQRT((E76^2)+(F76^2)))</f>
        <v>1.8638897456461607</v>
      </c>
      <c r="I76" s="12">
        <v>4144</v>
      </c>
      <c r="J76" s="13" t="s">
        <v>15</v>
      </c>
      <c r="K76" s="14">
        <v>2822</v>
      </c>
      <c r="L76" s="15">
        <f t="shared" ref="L76:L81" si="26">IF(H76=0,"",I76*K76/10^6)</f>
        <v>11.694368000000001</v>
      </c>
      <c r="M76" s="16">
        <v>4.63</v>
      </c>
      <c r="N76" s="17" t="s">
        <v>15</v>
      </c>
      <c r="O76" s="18">
        <v>4.63</v>
      </c>
      <c r="P76" s="56"/>
      <c r="Q76" s="6"/>
      <c r="R76" s="57"/>
      <c r="S76" s="4"/>
      <c r="T76" s="5"/>
      <c r="U76" s="22"/>
      <c r="V76" s="49"/>
    </row>
    <row r="77" spans="2:22" ht="15">
      <c r="B77" s="141" t="s">
        <v>154</v>
      </c>
      <c r="C77" s="53" t="s">
        <v>201</v>
      </c>
      <c r="D77" s="8" t="s">
        <v>7</v>
      </c>
      <c r="E77" s="9">
        <f t="shared" si="22"/>
        <v>5.6143999999999998</v>
      </c>
      <c r="F77" s="9">
        <f t="shared" si="23"/>
        <v>3.1783999999999999</v>
      </c>
      <c r="G77" s="10">
        <f t="shared" si="24"/>
        <v>6.4516442803366028</v>
      </c>
      <c r="H77" s="11">
        <f t="shared" si="25"/>
        <v>6.7062927566289376</v>
      </c>
      <c r="I77" s="12">
        <v>1936</v>
      </c>
      <c r="J77" s="13" t="s">
        <v>15</v>
      </c>
      <c r="K77" s="14">
        <v>1096</v>
      </c>
      <c r="L77" s="15">
        <f t="shared" si="26"/>
        <v>2.1218560000000002</v>
      </c>
      <c r="M77" s="16">
        <v>2.9</v>
      </c>
      <c r="N77" s="17" t="s">
        <v>15</v>
      </c>
      <c r="O77" s="18">
        <v>2.9</v>
      </c>
      <c r="P77" s="56"/>
      <c r="Q77" s="6"/>
      <c r="R77" s="57"/>
      <c r="S77" s="4"/>
      <c r="T77" s="5"/>
      <c r="U77" s="22"/>
      <c r="V77" s="49" t="s">
        <v>164</v>
      </c>
    </row>
    <row r="78" spans="2:22" ht="15">
      <c r="B78" s="141" t="s">
        <v>154</v>
      </c>
      <c r="C78" s="53" t="s">
        <v>287</v>
      </c>
      <c r="D78" s="8" t="s">
        <v>7</v>
      </c>
      <c r="E78" s="9">
        <f t="shared" si="22"/>
        <v>11.135999999999999</v>
      </c>
      <c r="F78" s="9">
        <f t="shared" si="23"/>
        <v>6.2639999999999993</v>
      </c>
      <c r="G78" s="10">
        <f t="shared" si="24"/>
        <v>12.776861586477329</v>
      </c>
      <c r="H78" s="11">
        <f t="shared" si="25"/>
        <v>3.386325743041628</v>
      </c>
      <c r="I78" s="12">
        <v>3840</v>
      </c>
      <c r="J78" s="13" t="s">
        <v>15</v>
      </c>
      <c r="K78" s="14">
        <v>2160</v>
      </c>
      <c r="L78" s="15">
        <f t="shared" si="26"/>
        <v>8.2943999999999996</v>
      </c>
      <c r="M78" s="16">
        <v>2.9</v>
      </c>
      <c r="N78" s="17" t="s">
        <v>15</v>
      </c>
      <c r="O78" s="18">
        <v>2.9</v>
      </c>
      <c r="P78" s="56"/>
      <c r="Q78" s="6"/>
      <c r="R78" s="57"/>
      <c r="S78" s="4"/>
      <c r="T78" s="5"/>
      <c r="U78" s="22"/>
      <c r="V78" s="49" t="s">
        <v>164</v>
      </c>
    </row>
    <row r="79" spans="2:22" ht="15">
      <c r="B79" s="141" t="s">
        <v>154</v>
      </c>
      <c r="C79" s="53" t="s">
        <v>271</v>
      </c>
      <c r="D79" s="8" t="s">
        <v>7</v>
      </c>
      <c r="E79" s="9">
        <f t="shared" si="22"/>
        <v>5.5679999999999996</v>
      </c>
      <c r="F79" s="9">
        <f t="shared" si="23"/>
        <v>3.1319999999999997</v>
      </c>
      <c r="G79" s="10">
        <f t="shared" si="24"/>
        <v>6.3884307932386646</v>
      </c>
      <c r="H79" s="11">
        <f t="shared" si="25"/>
        <v>6.7726514860832561</v>
      </c>
      <c r="I79" s="12">
        <v>1920</v>
      </c>
      <c r="J79" s="13" t="s">
        <v>15</v>
      </c>
      <c r="K79" s="14">
        <v>1080</v>
      </c>
      <c r="L79" s="15">
        <f t="shared" si="26"/>
        <v>2.0735999999999999</v>
      </c>
      <c r="M79" s="16">
        <v>2.9</v>
      </c>
      <c r="N79" s="17" t="s">
        <v>15</v>
      </c>
      <c r="O79" s="18">
        <v>2.9</v>
      </c>
      <c r="P79" s="56"/>
      <c r="Q79" s="6"/>
      <c r="R79" s="57"/>
      <c r="S79" s="4"/>
      <c r="T79" s="5"/>
      <c r="U79" s="22"/>
      <c r="V79" s="49" t="s">
        <v>137</v>
      </c>
    </row>
    <row r="80" spans="2:22" ht="15">
      <c r="B80" s="141" t="s">
        <v>154</v>
      </c>
      <c r="C80" s="53" t="s">
        <v>285</v>
      </c>
      <c r="D80" s="8" t="s">
        <v>7</v>
      </c>
      <c r="E80" s="9">
        <f t="shared" si="22"/>
        <v>7.68</v>
      </c>
      <c r="F80" s="9">
        <f t="shared" si="23"/>
        <v>4.32</v>
      </c>
      <c r="G80" s="10">
        <f t="shared" si="24"/>
        <v>8.8116286803291928</v>
      </c>
      <c r="H80" s="11">
        <f t="shared" si="25"/>
        <v>4.9101723274103604</v>
      </c>
      <c r="I80" s="12">
        <v>3840</v>
      </c>
      <c r="J80" s="13" t="s">
        <v>15</v>
      </c>
      <c r="K80" s="14">
        <v>2160</v>
      </c>
      <c r="L80" s="15">
        <f t="shared" si="26"/>
        <v>8.2943999999999996</v>
      </c>
      <c r="M80" s="16">
        <v>2</v>
      </c>
      <c r="N80" s="17" t="s">
        <v>15</v>
      </c>
      <c r="O80" s="18">
        <v>2</v>
      </c>
      <c r="P80" s="56"/>
      <c r="Q80" s="6"/>
      <c r="R80" s="57"/>
      <c r="S80" s="4"/>
      <c r="T80" s="5"/>
      <c r="U80" s="22"/>
      <c r="V80" s="49" t="s">
        <v>286</v>
      </c>
    </row>
    <row r="81" spans="2:22" ht="15.75" thickBot="1">
      <c r="B81" s="143" t="s">
        <v>154</v>
      </c>
      <c r="C81" s="306" t="s">
        <v>273</v>
      </c>
      <c r="D81" s="24" t="s">
        <v>7</v>
      </c>
      <c r="E81" s="25">
        <f t="shared" si="22"/>
        <v>23.43</v>
      </c>
      <c r="F81" s="25">
        <f t="shared" si="23"/>
        <v>15.66</v>
      </c>
      <c r="G81" s="26">
        <f t="shared" si="24"/>
        <v>28.181563122012943</v>
      </c>
      <c r="H81" s="27">
        <f t="shared" si="25"/>
        <v>1.5352808897875443</v>
      </c>
      <c r="I81" s="28">
        <v>6248</v>
      </c>
      <c r="J81" s="29" t="s">
        <v>15</v>
      </c>
      <c r="K81" s="30">
        <v>4176</v>
      </c>
      <c r="L81" s="31">
        <f t="shared" si="26"/>
        <v>26.091647999999999</v>
      </c>
      <c r="M81" s="32">
        <v>3.75</v>
      </c>
      <c r="N81" s="33" t="s">
        <v>15</v>
      </c>
      <c r="O81" s="34">
        <v>3.75</v>
      </c>
      <c r="P81" s="58"/>
      <c r="Q81" s="35"/>
      <c r="R81" s="59"/>
      <c r="S81" s="36"/>
      <c r="T81" s="37"/>
      <c r="U81" s="38"/>
      <c r="V81" s="54" t="s">
        <v>137</v>
      </c>
    </row>
    <row r="82" spans="2:22" ht="15" thickTop="1">
      <c r="C82" s="307"/>
    </row>
    <row r="89" spans="2:22" ht="15">
      <c r="C89" s="60"/>
      <c r="U89" s="60"/>
    </row>
    <row r="90" spans="2:22">
      <c r="B90" s="61">
        <f ca="1">TODAY()</f>
        <v>44769</v>
      </c>
    </row>
    <row r="100" spans="3:3">
      <c r="C100" s="47" t="s">
        <v>194</v>
      </c>
    </row>
  </sheetData>
  <sheetProtection algorithmName="SHA-512" hashValue="sX9zEoaYdK4n9ZTKfNmfVxuV/BgQBypRXpwOFG8AbGSlyg+bQhokVvA5vPOgQKY9DaBLgdGi8lecdUH+2f5a6g==" saltValue="k1+Dd9h+5cAA2kDlOt3KUg==" spinCount="100000" sheet="1" objects="1" scenarios="1"/>
  <mergeCells count="14">
    <mergeCell ref="V2:V3"/>
    <mergeCell ref="U4:U7"/>
    <mergeCell ref="B3:U3"/>
    <mergeCell ref="B2:U2"/>
    <mergeCell ref="B4:C4"/>
    <mergeCell ref="D4:O4"/>
    <mergeCell ref="C6:C7"/>
    <mergeCell ref="B6:B7"/>
    <mergeCell ref="D6:G6"/>
    <mergeCell ref="B5:C5"/>
    <mergeCell ref="D5:O5"/>
    <mergeCell ref="H6:H7"/>
    <mergeCell ref="M6:O7"/>
    <mergeCell ref="I6:L7"/>
  </mergeCells>
  <phoneticPr fontId="0" type="noConversion"/>
  <hyperlinks>
    <hyperlink ref="C49" r:id="rId1" xr:uid="{00000000-0004-0000-0200-000000000000}"/>
    <hyperlink ref="C41" r:id="rId2" xr:uid="{00000000-0004-0000-0200-000001000000}"/>
    <hyperlink ref="C13" r:id="rId3" xr:uid="{00000000-0004-0000-0200-000002000000}"/>
    <hyperlink ref="C27" r:id="rId4" xr:uid="{00000000-0004-0000-0200-000003000000}"/>
    <hyperlink ref="C42" r:id="rId5" xr:uid="{00000000-0004-0000-0200-000004000000}"/>
    <hyperlink ref="C28" r:id="rId6" xr:uid="{00000000-0004-0000-0200-000005000000}"/>
    <hyperlink ref="C52" r:id="rId7" display="ST8-XE" xr:uid="{00000000-0004-0000-0200-000006000000}"/>
    <hyperlink ref="C39" r:id="rId8" xr:uid="{00000000-0004-0000-0200-000007000000}"/>
    <hyperlink ref="C59" r:id="rId9" xr:uid="{00000000-0004-0000-0200-000008000000}"/>
    <hyperlink ref="C46" r:id="rId10" xr:uid="{00000000-0004-0000-0200-000009000000}"/>
    <hyperlink ref="C8" r:id="rId11" xr:uid="{00000000-0004-0000-0200-00000A000000}"/>
    <hyperlink ref="C9" r:id="rId12" xr:uid="{00000000-0004-0000-0200-00000B000000}"/>
    <hyperlink ref="C60" r:id="rId13" xr:uid="{00000000-0004-0000-0200-00000C000000}"/>
    <hyperlink ref="C11" r:id="rId14" display="ART-285C" xr:uid="{00000000-0004-0000-0200-00000D000000}"/>
    <hyperlink ref="C57" r:id="rId15" xr:uid="{00000000-0004-0000-0200-00000E000000}"/>
    <hyperlink ref="C64" r:id="rId16" xr:uid="{00000000-0004-0000-0200-00000F000000}"/>
    <hyperlink ref="C38" r:id="rId17" xr:uid="{00000000-0004-0000-0200-000010000000}"/>
    <hyperlink ref="C47" r:id="rId18" xr:uid="{00000000-0004-0000-0200-000011000000}"/>
    <hyperlink ref="C20" r:id="rId19" xr:uid="{00000000-0004-0000-0200-000012000000}"/>
    <hyperlink ref="C10" r:id="rId20" display="ART-285C" xr:uid="{00000000-0004-0000-0200-000013000000}"/>
    <hyperlink ref="C62" r:id="rId21" xr:uid="{00000000-0004-0000-0200-000014000000}"/>
    <hyperlink ref="C16" r:id="rId22" display="ATK-16HRC" xr:uid="{00000000-0004-0000-0200-000015000000}"/>
    <hyperlink ref="C44" r:id="rId23" xr:uid="{00000000-0004-0000-0200-000016000000}"/>
    <hyperlink ref="C40" r:id="rId24" xr:uid="{00000000-0004-0000-0200-000017000000}"/>
    <hyperlink ref="C15" r:id="rId25" display="ATK1CII" xr:uid="{00000000-0004-0000-0200-000018000000}"/>
    <hyperlink ref="C12" r:id="rId26" display="ART-4021" xr:uid="{00000000-0004-0000-0200-000019000000}"/>
    <hyperlink ref="C35" r:id="rId27" display="6.OC  -  QHY8" xr:uid="{00000000-0004-0000-0200-00001A000000}"/>
    <hyperlink ref="C51" r:id="rId28" xr:uid="{00000000-0004-0000-0200-00001B000000}"/>
    <hyperlink ref="C45" r:id="rId29" xr:uid="{00000000-0004-0000-0200-00001C000000}"/>
    <hyperlink ref="C29" r:id="rId30" xr:uid="{00000000-0004-0000-0200-00001D000000}"/>
    <hyperlink ref="D5:O5" r:id="rId31" display="http://www.kodak.com/global/en/business/ISS/Products/Fullframe/" xr:uid="{00000000-0004-0000-0200-00001E000000}"/>
    <hyperlink ref="C23" r:id="rId32" location="pix-review" xr:uid="{00000000-0004-0000-0200-00001F000000}"/>
    <hyperlink ref="C30" r:id="rId33" xr:uid="{00000000-0004-0000-0200-000020000000}"/>
    <hyperlink ref="C36" r:id="rId34" xr:uid="{00000000-0004-0000-0200-000021000000}"/>
    <hyperlink ref="U44" r:id="rId35" display="KAF-8300CE" xr:uid="{00000000-0004-0000-0200-000022000000}"/>
    <hyperlink ref="C17" r:id="rId36" display="ATK 383L" xr:uid="{00000000-0004-0000-0200-000023000000}"/>
    <hyperlink ref="C37" r:id="rId37" xr:uid="{00000000-0004-0000-0200-000024000000}"/>
    <hyperlink ref="C14" r:id="rId38" location="1HS" xr:uid="{00000000-0004-0000-0200-000025000000}"/>
    <hyperlink ref="C63" r:id="rId39" xr:uid="{00000000-0004-0000-0200-000026000000}"/>
    <hyperlink ref="C65" r:id="rId40" xr:uid="{00000000-0004-0000-0200-000027000000}"/>
    <hyperlink ref="C61" r:id="rId41" xr:uid="{00000000-0004-0000-0200-000028000000}"/>
    <hyperlink ref="C66" r:id="rId42" xr:uid="{00000000-0004-0000-0200-000029000000}"/>
    <hyperlink ref="U66" r:id="rId43" display="ICX-618ALA" xr:uid="{00000000-0004-0000-0200-00002A000000}"/>
    <hyperlink ref="U13" r:id="rId44" xr:uid="{00000000-0004-0000-0200-00002B000000}"/>
    <hyperlink ref="C67" r:id="rId45" xr:uid="{00000000-0004-0000-0200-00002C000000}"/>
    <hyperlink ref="U67" r:id="rId46" xr:uid="{00000000-0004-0000-0200-00002D000000}"/>
    <hyperlink ref="C50" r:id="rId47" xr:uid="{00000000-0004-0000-0200-00002E000000}"/>
    <hyperlink ref="C68" r:id="rId48" xr:uid="{00000000-0004-0000-0200-00002F000000}"/>
    <hyperlink ref="U68" r:id="rId49" xr:uid="{00000000-0004-0000-0200-000030000000}"/>
    <hyperlink ref="C31" r:id="rId50" xr:uid="{00000000-0004-0000-0200-000031000000}"/>
    <hyperlink ref="C69" r:id="rId51" xr:uid="{00000000-0004-0000-0200-000032000000}"/>
    <hyperlink ref="C53" r:id="rId52" xr:uid="{00000000-0004-0000-0200-000033000000}"/>
    <hyperlink ref="C26" r:id="rId53" xr:uid="{00000000-0004-0000-0200-000034000000}"/>
    <hyperlink ref="C74" r:id="rId54" xr:uid="{00000000-0004-0000-0200-000035000000}"/>
    <hyperlink ref="C32" r:id="rId55" xr:uid="{00000000-0004-0000-0200-000036000000}"/>
    <hyperlink ref="C70" r:id="rId56" display="ASI120MM" xr:uid="{00000000-0004-0000-0200-000037000000}"/>
    <hyperlink ref="C71" r:id="rId57" xr:uid="{00000000-0004-0000-0200-000038000000}"/>
    <hyperlink ref="C73" r:id="rId58" xr:uid="{00000000-0004-0000-0200-000039000000}"/>
    <hyperlink ref="C22" r:id="rId59" xr:uid="{00000000-0004-0000-0200-00003A000000}"/>
    <hyperlink ref="C76" r:id="rId60" xr:uid="{00000000-0004-0000-0200-00003B000000}"/>
    <hyperlink ref="C72" r:id="rId61" xr:uid="{00000000-0004-0000-0200-00003C000000}"/>
    <hyperlink ref="C79" r:id="rId62" xr:uid="{00000000-0004-0000-0200-00003D000000}"/>
    <hyperlink ref="C33" r:id="rId63" xr:uid="{4A3EE87C-973E-4F08-A15C-D0C38669E302}"/>
    <hyperlink ref="C34" r:id="rId64" display="QHY585M/C" xr:uid="{EDE9DE3E-8B21-439A-916E-D3FD3799A359}"/>
    <hyperlink ref="C77" r:id="rId65" xr:uid="{CDB32179-F88F-4566-AD4C-7995E4C1A2D4}"/>
    <hyperlink ref="C81" r:id="rId66" xr:uid="{A9CA663F-37D0-44B0-8E3C-7416F567B541}"/>
    <hyperlink ref="C80" r:id="rId67" location="99b7/fullscreen/m=and&amp;q=ASI678MM" display="ASI678MC" xr:uid="{B4310A9D-1A7B-49D7-B31C-31C072ADE494}"/>
    <hyperlink ref="C78" r:id="rId68" xr:uid="{1E075DF2-9E14-4ED6-8747-1A2300820DE1}"/>
  </hyperlinks>
  <printOptions horizontalCentered="1"/>
  <pageMargins left="0.39370078740157483" right="0.39370078740157483" top="0.39370078740157483" bottom="0.39370078740157483" header="0" footer="0"/>
  <pageSetup paperSize="9" scale="56" fitToHeight="2" orientation="portrait" r:id="rId69"/>
  <headerFooter alignWithMargins="0"/>
  <drawing r:id="rId7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2</vt:i4>
      </vt:variant>
    </vt:vector>
  </HeadingPairs>
  <TitlesOfParts>
    <vt:vector size="7" baseType="lpstr">
      <vt:lpstr>TABLA_01</vt:lpstr>
      <vt:lpstr>Hoja2</vt:lpstr>
      <vt:lpstr>Hoja1</vt:lpstr>
      <vt:lpstr>CONFIG.</vt:lpstr>
      <vt:lpstr>Características CCD o DSLR</vt:lpstr>
      <vt:lpstr>CONFIG.!Área_de_impresión</vt:lpstr>
      <vt:lpstr>TABLA_01!Área_de_impresión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JMP</dc:creator>
  <cp:lastModifiedBy>José M</cp:lastModifiedBy>
  <cp:lastPrinted>2026-07-28T04:53:07Z</cp:lastPrinted>
  <dcterms:created xsi:type="dcterms:W3CDTF">2005-01-28T14:24:21Z</dcterms:created>
  <dcterms:modified xsi:type="dcterms:W3CDTF">2026-07-28T04:57:56Z</dcterms:modified>
</cp:coreProperties>
</file>